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ITYKEEP\PWNR\"/>
    </mc:Choice>
  </mc:AlternateContent>
  <bookViews>
    <workbookView xWindow="0" yWindow="0" windowWidth="20400" windowHeight="7755" tabRatio="691" firstSheet="6" activeTab="2"/>
  </bookViews>
  <sheets>
    <sheet name="Replacement Summary" sheetId="22" r:id="rId1"/>
    <sheet name="Replacement Calculations" sheetId="3" r:id="rId2"/>
    <sheet name="Gap Summary" sheetId="21" r:id="rId3"/>
    <sheet name="Affordable Sales Price" sheetId="23" r:id="rId4"/>
    <sheet name="Affordable Sales Price - alt" sheetId="27" state="hidden" r:id="rId5"/>
    <sheet name="Impact to Margins" sheetId="24" r:id="rId6"/>
    <sheet name="Sliding Scale" sheetId="25" r:id="rId7"/>
    <sheet name="Gap Summary of square feet" sheetId="26" state="hidden" r:id="rId8"/>
    <sheet name="YTD - 2003 and newer" sheetId="15" r:id="rId9"/>
    <sheet name="Last 12 Months - 2003 and newer" sheetId="16" r:id="rId10"/>
    <sheet name="18 Month Rolling - 2003 and new" sheetId="17" r:id="rId11"/>
    <sheet name="Single Family Lots" sheetId="1" state="hidden" r:id="rId12"/>
    <sheet name="Multi Family" sheetId="2" state="hidden" r:id="rId13"/>
    <sheet name="Demonstration" sheetId="4" state="hidden" r:id="rId14"/>
    <sheet name="Units EStimate" sheetId="6" state="hidden" r:id="rId15"/>
    <sheet name="Comparison Table" sheetId="5" state="hidden" r:id="rId16"/>
    <sheet name="Sheet2" sheetId="8" state="hidden" r:id="rId17"/>
    <sheet name="YTD - new AHSP" sheetId="12" state="hidden" r:id="rId18"/>
    <sheet name="Last 12 Months - new AHSP" sheetId="13" state="hidden" r:id="rId19"/>
    <sheet name="18 Month Rolling - new AHSP" sheetId="14" state="hidden" r:id="rId20"/>
    <sheet name="YTD all yrs" sheetId="11" r:id="rId21"/>
    <sheet name="Last 12 Months all yrs" sheetId="10" r:id="rId22"/>
    <sheet name="18 Month Rolling all yrs" sheetId="9" r:id="rId23"/>
    <sheet name="2012 and newer - YTD" sheetId="19" r:id="rId24"/>
    <sheet name="2012 and newer - Last 12 Months" sheetId="20" r:id="rId25"/>
    <sheet name="2012 and newer - 18 month" sheetId="18" r:id="rId26"/>
  </sheets>
  <definedNames>
    <definedName name="_ftn1" localSheetId="13">Demonstration!$A$24</definedName>
    <definedName name="_ftnref1" localSheetId="13">Demonstration!#REF!</definedName>
    <definedName name="_xlnm.Print_Area" localSheetId="13">Demonstration!$A$1:$X$111</definedName>
    <definedName name="_xlnm.Print_Area" localSheetId="2">'Gap Summary'!$A$2:$I$14</definedName>
    <definedName name="_xlnm.Print_Area" localSheetId="7">'Gap Summary of square feet'!$A$2:$I$11</definedName>
    <definedName name="_xlnm.Print_Area" localSheetId="5">'Impact to Margins'!$A$1:$J$43</definedName>
    <definedName name="_xlnm.Print_Area" localSheetId="12">'Multi Family'!$J$1:$Q$26</definedName>
    <definedName name="_xlnm.Print_Area" localSheetId="1">'Replacement Calculations'!$B$1:$J$59</definedName>
  </definedNames>
  <calcPr calcId="162913" iterate="1"/>
</workbook>
</file>

<file path=xl/calcChain.xml><?xml version="1.0" encoding="utf-8"?>
<calcChain xmlns="http://schemas.openxmlformats.org/spreadsheetml/2006/main">
  <c r="B21" i="27" l="1"/>
  <c r="B14" i="23"/>
  <c r="C40" i="24" l="1"/>
  <c r="E40" i="24"/>
  <c r="E37" i="24"/>
  <c r="E7" i="27" l="1"/>
  <c r="E15" i="27"/>
  <c r="E13" i="27"/>
  <c r="E11" i="27"/>
  <c r="E9" i="27"/>
  <c r="E5" i="27"/>
  <c r="A7" i="27"/>
  <c r="A11" i="27"/>
  <c r="A15" i="27"/>
  <c r="B11" i="27"/>
  <c r="C11" i="27" s="1"/>
  <c r="D11" i="27" s="1"/>
  <c r="C9" i="27"/>
  <c r="D9" i="27" s="1"/>
  <c r="B15" i="27"/>
  <c r="C15" i="27" s="1"/>
  <c r="D15" i="27" s="1"/>
  <c r="F15" i="27" s="1"/>
  <c r="G15" i="27" s="1"/>
  <c r="H15" i="27" s="1"/>
  <c r="C13" i="27"/>
  <c r="D13" i="27" s="1"/>
  <c r="B7" i="27"/>
  <c r="C7" i="27" s="1"/>
  <c r="C20" i="27"/>
  <c r="C5" i="27"/>
  <c r="C13" i="23"/>
  <c r="F11" i="27" l="1"/>
  <c r="G11" i="27" s="1"/>
  <c r="H11" i="27" s="1"/>
  <c r="F13" i="27"/>
  <c r="G13" i="27" s="1"/>
  <c r="H13" i="27" s="1"/>
  <c r="F9" i="27"/>
  <c r="G9" i="27" s="1"/>
  <c r="H9" i="27" s="1"/>
  <c r="D5" i="27"/>
  <c r="D7" i="27"/>
  <c r="F7" i="27" s="1"/>
  <c r="G7" i="27" s="1"/>
  <c r="G7" i="26"/>
  <c r="D8" i="26"/>
  <c r="C8" i="26"/>
  <c r="B8" i="26"/>
  <c r="D7" i="26"/>
  <c r="C7" i="26"/>
  <c r="B7" i="26"/>
  <c r="D6" i="26"/>
  <c r="C6" i="26"/>
  <c r="B6" i="26"/>
  <c r="A8" i="24"/>
  <c r="E22" i="18"/>
  <c r="H8" i="26" s="1"/>
  <c r="E22" i="20"/>
  <c r="H7" i="26" s="1"/>
  <c r="E22" i="19"/>
  <c r="H6" i="26" s="1"/>
  <c r="E22" i="9"/>
  <c r="F8" i="26" s="1"/>
  <c r="E22" i="10"/>
  <c r="F7" i="26" s="1"/>
  <c r="C8" i="24" s="1"/>
  <c r="E22" i="11"/>
  <c r="F6" i="26" s="1"/>
  <c r="E22" i="17"/>
  <c r="G8" i="26" s="1"/>
  <c r="E22" i="16"/>
  <c r="E22" i="15"/>
  <c r="G6" i="26" s="1"/>
  <c r="E38" i="24" l="1"/>
  <c r="F5" i="27"/>
  <c r="G5" i="27" s="1"/>
  <c r="H5" i="27" s="1"/>
  <c r="B28" i="27"/>
  <c r="B29" i="27" s="1"/>
  <c r="H7" i="27"/>
  <c r="C39" i="24"/>
  <c r="C41" i="24" s="1"/>
  <c r="C31" i="24"/>
  <c r="F31" i="24" s="1"/>
  <c r="C32" i="24"/>
  <c r="C38" i="24"/>
  <c r="C7" i="23"/>
  <c r="C9" i="23"/>
  <c r="C5" i="23"/>
  <c r="D5" i="23" s="1"/>
  <c r="C42" i="24" l="1"/>
  <c r="C30" i="24" s="1"/>
  <c r="F32" i="24"/>
  <c r="E41" i="24"/>
  <c r="E42" i="24" s="1"/>
  <c r="F30" i="24" s="1"/>
  <c r="F33" i="24" s="1"/>
  <c r="E5" i="23"/>
  <c r="D7" i="23"/>
  <c r="E7" i="23" s="1"/>
  <c r="F7" i="23" s="1"/>
  <c r="D9" i="23"/>
  <c r="E9" i="23" s="1"/>
  <c r="F9" i="23" s="1"/>
  <c r="E8" i="11" s="1"/>
  <c r="E8" i="18" l="1"/>
  <c r="E8" i="16"/>
  <c r="E8" i="19"/>
  <c r="E8" i="20"/>
  <c r="E8" i="10"/>
  <c r="E8" i="9"/>
  <c r="E8" i="15"/>
  <c r="E8" i="17"/>
  <c r="C34" i="24"/>
  <c r="C33" i="24"/>
  <c r="F34" i="24"/>
  <c r="C12" i="24"/>
  <c r="D12" i="24" s="1"/>
  <c r="F5" i="23"/>
  <c r="D42" i="3"/>
  <c r="D28" i="3"/>
  <c r="D8" i="16" l="1"/>
  <c r="D8" i="18"/>
  <c r="D8" i="11"/>
  <c r="D8" i="17"/>
  <c r="D8" i="15"/>
  <c r="D8" i="9"/>
  <c r="D8" i="10"/>
  <c r="D8" i="20"/>
  <c r="D8" i="19"/>
  <c r="D53" i="3"/>
  <c r="D12" i="3"/>
  <c r="D13" i="3"/>
  <c r="D27" i="3"/>
  <c r="D41" i="3"/>
  <c r="D10" i="15" l="1"/>
  <c r="G8" i="15"/>
  <c r="D30" i="3"/>
  <c r="E31" i="3" s="1"/>
  <c r="D15" i="3"/>
  <c r="E10" i="20" l="1"/>
  <c r="E14" i="20" s="1"/>
  <c r="E18" i="20" s="1"/>
  <c r="D10" i="20"/>
  <c r="D14" i="20" s="1"/>
  <c r="G8" i="20"/>
  <c r="G10" i="20" s="1"/>
  <c r="G14" i="20" s="1"/>
  <c r="G18" i="20" s="1"/>
  <c r="D10" i="21" s="1"/>
  <c r="E10" i="19"/>
  <c r="E14" i="19" s="1"/>
  <c r="E18" i="19" s="1"/>
  <c r="D10" i="19"/>
  <c r="D14" i="19" s="1"/>
  <c r="G8" i="19"/>
  <c r="G10" i="19" s="1"/>
  <c r="G14" i="19" s="1"/>
  <c r="G18" i="19" s="1"/>
  <c r="D9" i="21" s="1"/>
  <c r="G7" i="19"/>
  <c r="E10" i="18"/>
  <c r="E14" i="18" s="1"/>
  <c r="E18" i="18" s="1"/>
  <c r="D10" i="18"/>
  <c r="D14" i="18" s="1"/>
  <c r="G8" i="18"/>
  <c r="G10" i="18" s="1"/>
  <c r="G14" i="18" s="1"/>
  <c r="G18" i="18" s="1"/>
  <c r="D11" i="21" s="1"/>
  <c r="D18" i="20" l="1"/>
  <c r="E16" i="20"/>
  <c r="E20" i="20" s="1"/>
  <c r="H10" i="21" s="1"/>
  <c r="E16" i="19"/>
  <c r="E20" i="19" s="1"/>
  <c r="H9" i="21" s="1"/>
  <c r="D18" i="19"/>
  <c r="E16" i="18"/>
  <c r="E20" i="18" s="1"/>
  <c r="H11" i="21" s="1"/>
  <c r="D18" i="18"/>
  <c r="E10" i="17"/>
  <c r="E14" i="17" s="1"/>
  <c r="D10" i="17"/>
  <c r="D14" i="17" s="1"/>
  <c r="E10" i="16"/>
  <c r="E14" i="16" s="1"/>
  <c r="E18" i="16" s="1"/>
  <c r="D10" i="16"/>
  <c r="D14" i="16" s="1"/>
  <c r="E10" i="15"/>
  <c r="E14" i="15" s="1"/>
  <c r="E18" i="15" s="1"/>
  <c r="G10" i="15"/>
  <c r="D12" i="12"/>
  <c r="E12" i="12"/>
  <c r="G12" i="12"/>
  <c r="E8" i="13"/>
  <c r="E10" i="13" s="1"/>
  <c r="E14" i="13" s="1"/>
  <c r="E18" i="13" s="1"/>
  <c r="D8" i="13"/>
  <c r="D10" i="13" s="1"/>
  <c r="D14" i="13" s="1"/>
  <c r="D8" i="14"/>
  <c r="D10" i="14" s="1"/>
  <c r="D14" i="14" s="1"/>
  <c r="D18" i="14" s="1"/>
  <c r="E8" i="14"/>
  <c r="E10" i="14" s="1"/>
  <c r="E14" i="14" s="1"/>
  <c r="G7" i="14"/>
  <c r="G7" i="13"/>
  <c r="E10" i="12"/>
  <c r="E14" i="12" s="1"/>
  <c r="E18" i="12" s="1"/>
  <c r="D10" i="12"/>
  <c r="G8" i="12"/>
  <c r="G10" i="12" s="1"/>
  <c r="G7" i="12"/>
  <c r="E10" i="11"/>
  <c r="E14" i="11" s="1"/>
  <c r="E18" i="11" s="1"/>
  <c r="D10" i="11"/>
  <c r="D14" i="11" s="1"/>
  <c r="G8" i="11"/>
  <c r="G10" i="11" s="1"/>
  <c r="G14" i="11" s="1"/>
  <c r="G18" i="11" s="1"/>
  <c r="B9" i="21" s="1"/>
  <c r="G7" i="11"/>
  <c r="E10" i="10"/>
  <c r="E14" i="10" s="1"/>
  <c r="D10" i="10"/>
  <c r="D14" i="10" s="1"/>
  <c r="D18" i="10" s="1"/>
  <c r="G8" i="10"/>
  <c r="G10" i="10" s="1"/>
  <c r="G14" i="10" s="1"/>
  <c r="G18" i="10" s="1"/>
  <c r="B10" i="21" s="1"/>
  <c r="G7" i="10"/>
  <c r="G8" i="9"/>
  <c r="G10" i="9" s="1"/>
  <c r="G14" i="9" s="1"/>
  <c r="G18" i="9" s="1"/>
  <c r="B11" i="21" s="1"/>
  <c r="G7" i="9"/>
  <c r="E10" i="9"/>
  <c r="E14" i="9" s="1"/>
  <c r="D10" i="9"/>
  <c r="D14" i="9" s="1"/>
  <c r="D18" i="9" s="1"/>
  <c r="G14" i="12" l="1"/>
  <c r="G18" i="12" s="1"/>
  <c r="D18" i="17"/>
  <c r="E16" i="17"/>
  <c r="E20" i="17" s="1"/>
  <c r="G11" i="21" s="1"/>
  <c r="E18" i="9"/>
  <c r="E16" i="9"/>
  <c r="E20" i="9" s="1"/>
  <c r="F11" i="21" s="1"/>
  <c r="G8" i="13"/>
  <c r="G10" i="13" s="1"/>
  <c r="G14" i="13" s="1"/>
  <c r="G18" i="13" s="1"/>
  <c r="G14" i="15"/>
  <c r="G18" i="15" s="1"/>
  <c r="C9" i="21" s="1"/>
  <c r="D14" i="15"/>
  <c r="E16" i="15" s="1"/>
  <c r="E18" i="17"/>
  <c r="D18" i="16"/>
  <c r="E16" i="16"/>
  <c r="E20" i="16" s="1"/>
  <c r="G10" i="21" s="1"/>
  <c r="C5" i="24" s="1"/>
  <c r="C17" i="24" s="1"/>
  <c r="G8" i="17"/>
  <c r="G10" i="17" s="1"/>
  <c r="G14" i="17" s="1"/>
  <c r="G18" i="17" s="1"/>
  <c r="C11" i="21" s="1"/>
  <c r="G8" i="16"/>
  <c r="G10" i="16" s="1"/>
  <c r="G14" i="16" s="1"/>
  <c r="G18" i="16" s="1"/>
  <c r="C10" i="21" s="1"/>
  <c r="D14" i="12"/>
  <c r="D18" i="12" s="1"/>
  <c r="E16" i="13"/>
  <c r="E20" i="13" s="1"/>
  <c r="G8" i="14"/>
  <c r="G10" i="14" s="1"/>
  <c r="G14" i="14" s="1"/>
  <c r="G18" i="14" s="1"/>
  <c r="E16" i="14"/>
  <c r="E20" i="14" s="1"/>
  <c r="E18" i="14"/>
  <c r="D18" i="13"/>
  <c r="E16" i="11"/>
  <c r="E20" i="11" s="1"/>
  <c r="F9" i="21" s="1"/>
  <c r="D18" i="11"/>
  <c r="E18" i="10"/>
  <c r="E16" i="10"/>
  <c r="E20" i="10" s="1"/>
  <c r="F10" i="21" s="1"/>
  <c r="C7" i="8"/>
  <c r="C15" i="8" s="1"/>
  <c r="F7" i="8"/>
  <c r="F9" i="8" s="1"/>
  <c r="F13" i="8" s="1"/>
  <c r="B9" i="8"/>
  <c r="B13" i="8" s="1"/>
  <c r="E7" i="8"/>
  <c r="E9" i="8" s="1"/>
  <c r="E13" i="8" s="1"/>
  <c r="C13" i="24" l="1"/>
  <c r="D18" i="15"/>
  <c r="E20" i="15"/>
  <c r="G9" i="21" s="1"/>
  <c r="F15" i="8"/>
  <c r="F20" i="8" s="1"/>
  <c r="B3" i="25"/>
  <c r="C18" i="8"/>
  <c r="C22" i="8"/>
  <c r="C20" i="8"/>
  <c r="E16" i="12"/>
  <c r="E20" i="12" s="1"/>
  <c r="C9" i="8"/>
  <c r="C13" i="8" s="1"/>
  <c r="T54" i="5"/>
  <c r="S54" i="5"/>
  <c r="R54" i="5"/>
  <c r="U54" i="5" s="1"/>
  <c r="T52" i="5"/>
  <c r="S52" i="5"/>
  <c r="R52" i="5"/>
  <c r="U52" i="5" s="1"/>
  <c r="U50" i="5"/>
  <c r="T50" i="5"/>
  <c r="S50" i="5"/>
  <c r="R50" i="5"/>
  <c r="T17" i="4"/>
  <c r="R17" i="4"/>
  <c r="L490" i="1"/>
  <c r="C27" i="5"/>
  <c r="F31" i="5"/>
  <c r="R31" i="5" s="1"/>
  <c r="U31" i="5" s="1"/>
  <c r="G31" i="5"/>
  <c r="S31" i="5" s="1"/>
  <c r="V31" i="5" s="1"/>
  <c r="H31" i="5"/>
  <c r="T31" i="5" s="1"/>
  <c r="W31" i="5" s="1"/>
  <c r="F54" i="5"/>
  <c r="I54" i="5" s="1"/>
  <c r="L54" i="5" s="1"/>
  <c r="G54" i="5"/>
  <c r="J54" i="5" s="1"/>
  <c r="M54" i="5" s="1"/>
  <c r="H54" i="5"/>
  <c r="K54" i="5" s="1"/>
  <c r="N54" i="5" s="1"/>
  <c r="D52" i="5"/>
  <c r="E52" i="5" s="1"/>
  <c r="D50" i="5"/>
  <c r="E50" i="5" s="1"/>
  <c r="C56" i="5"/>
  <c r="C55" i="5"/>
  <c r="C54" i="5"/>
  <c r="C52" i="5"/>
  <c r="H52" i="5" s="1"/>
  <c r="K52" i="5" s="1"/>
  <c r="C50" i="5"/>
  <c r="G50" i="5" s="1"/>
  <c r="J50" i="5" s="1"/>
  <c r="C9" i="6"/>
  <c r="C8" i="6"/>
  <c r="C7" i="6"/>
  <c r="C6" i="6"/>
  <c r="C14" i="24" l="1"/>
  <c r="C27" i="24" s="1"/>
  <c r="C18" i="24" s="1"/>
  <c r="C19" i="24" s="1"/>
  <c r="D19" i="24" s="1"/>
  <c r="D13" i="24"/>
  <c r="F18" i="8"/>
  <c r="F22" i="8"/>
  <c r="B10" i="25"/>
  <c r="C13" i="25"/>
  <c r="C14" i="25" s="1"/>
  <c r="B8" i="25"/>
  <c r="B9" i="25"/>
  <c r="F52" i="5"/>
  <c r="I52" i="5" s="1"/>
  <c r="L52" i="5" s="1"/>
  <c r="F50" i="5"/>
  <c r="I50" i="5" s="1"/>
  <c r="G52" i="5"/>
  <c r="J52" i="5" s="1"/>
  <c r="M52" i="5" s="1"/>
  <c r="H50" i="5"/>
  <c r="K50" i="5" s="1"/>
  <c r="N50" i="5" s="1"/>
  <c r="L50" i="5"/>
  <c r="M50" i="5"/>
  <c r="N52" i="5"/>
  <c r="B13" i="5"/>
  <c r="B9" i="5"/>
  <c r="C33" i="5"/>
  <c r="C32" i="5"/>
  <c r="C31" i="5"/>
  <c r="K31" i="5"/>
  <c r="N31" i="5" s="1"/>
  <c r="D29" i="5"/>
  <c r="E29" i="5" s="1"/>
  <c r="C29" i="5"/>
  <c r="J31" i="5"/>
  <c r="M31" i="5" s="1"/>
  <c r="I31" i="5"/>
  <c r="L31" i="5" s="1"/>
  <c r="D27" i="5"/>
  <c r="E27" i="5" s="1"/>
  <c r="G27" i="5"/>
  <c r="S27" i="5" s="1"/>
  <c r="V27" i="5" s="1"/>
  <c r="R16" i="4"/>
  <c r="D14" i="24" l="1"/>
  <c r="B13" i="25"/>
  <c r="C9" i="5"/>
  <c r="H29" i="5"/>
  <c r="T29" i="5" s="1"/>
  <c r="W29" i="5" s="1"/>
  <c r="G29" i="5"/>
  <c r="F29" i="5"/>
  <c r="J27" i="5"/>
  <c r="M27" i="5" s="1"/>
  <c r="E10" i="5" s="1"/>
  <c r="F27" i="5"/>
  <c r="R27" i="5" s="1"/>
  <c r="U27" i="5" s="1"/>
  <c r="H27" i="5"/>
  <c r="C13" i="5"/>
  <c r="D19" i="5"/>
  <c r="K29" i="5"/>
  <c r="N29" i="5" s="1"/>
  <c r="E15" i="5" s="1"/>
  <c r="D18" i="5"/>
  <c r="D15" i="5"/>
  <c r="D17" i="5"/>
  <c r="B14" i="25" l="1"/>
  <c r="D13" i="25"/>
  <c r="J29" i="5"/>
  <c r="M29" i="5" s="1"/>
  <c r="E14" i="5" s="1"/>
  <c r="S29" i="5"/>
  <c r="V29" i="5" s="1"/>
  <c r="K27" i="5"/>
  <c r="T27" i="5"/>
  <c r="W27" i="5" s="1"/>
  <c r="I29" i="5"/>
  <c r="D13" i="5" s="1"/>
  <c r="R29" i="5"/>
  <c r="U29" i="5" s="1"/>
  <c r="I27" i="5"/>
  <c r="L27" i="5" s="1"/>
  <c r="E9" i="5" s="1"/>
  <c r="D10" i="5"/>
  <c r="L29" i="5"/>
  <c r="E13" i="5" s="1"/>
  <c r="D14" i="5"/>
  <c r="N27" i="5"/>
  <c r="E11" i="5" s="1"/>
  <c r="D11" i="5"/>
  <c r="T110" i="4"/>
  <c r="T104" i="4"/>
  <c r="T107" i="4"/>
  <c r="D9" i="5" l="1"/>
  <c r="T16" i="4"/>
  <c r="H17" i="4"/>
  <c r="H16" i="4"/>
  <c r="H19" i="4" l="1"/>
  <c r="R19" i="4"/>
  <c r="T19" i="4" l="1"/>
  <c r="B25" i="5"/>
  <c r="J24" i="2"/>
  <c r="J26" i="2" s="1"/>
  <c r="C25" i="5" l="1"/>
  <c r="F25" i="5" s="1"/>
  <c r="D25" i="5"/>
  <c r="E25" i="5" s="1"/>
  <c r="B5" i="5"/>
  <c r="B48" i="5"/>
  <c r="K47" i="3"/>
  <c r="B24" i="2"/>
  <c r="D48" i="5" l="1"/>
  <c r="E48" i="5" s="1"/>
  <c r="C48" i="5"/>
  <c r="G25" i="5"/>
  <c r="H25" i="5"/>
  <c r="C5" i="5"/>
  <c r="D44" i="3"/>
  <c r="D51" i="3" l="1"/>
  <c r="D52" i="3" s="1"/>
  <c r="D54" i="3" s="1"/>
  <c r="D55" i="3" s="1"/>
  <c r="E45" i="3"/>
  <c r="F45" i="3" s="1"/>
  <c r="K25" i="5"/>
  <c r="T25" i="5"/>
  <c r="W25" i="5" s="1"/>
  <c r="F48" i="5"/>
  <c r="G48" i="5"/>
  <c r="J48" i="5" s="1"/>
  <c r="M48" i="5" s="1"/>
  <c r="H48" i="5"/>
  <c r="K48" i="5" s="1"/>
  <c r="N48" i="5" s="1"/>
  <c r="J25" i="5"/>
  <c r="S25" i="5"/>
  <c r="V25" i="5" s="1"/>
  <c r="I25" i="5"/>
  <c r="R25" i="5"/>
  <c r="U25" i="5" s="1"/>
  <c r="L25" i="5" l="1"/>
  <c r="E5" i="5" s="1"/>
  <c r="D5" i="5"/>
  <c r="I48" i="5"/>
  <c r="L48" i="5" s="1"/>
  <c r="D6" i="5"/>
  <c r="M25" i="5"/>
  <c r="E6" i="5" s="1"/>
  <c r="D7" i="5"/>
  <c r="N25" i="5"/>
  <c r="E7" i="5" s="1"/>
  <c r="P490" i="1"/>
  <c r="J489" i="1"/>
  <c r="L491" i="1"/>
  <c r="P492" i="1" l="1"/>
  <c r="I486" i="1" l="1"/>
  <c r="I487" i="1"/>
  <c r="I485" i="1"/>
  <c r="I484" i="1"/>
  <c r="I483" i="1"/>
  <c r="J491" i="1"/>
  <c r="B491" i="1"/>
  <c r="B490" i="1"/>
  <c r="P24" i="2"/>
  <c r="L24" i="2"/>
  <c r="L26" i="2" l="1"/>
  <c r="J28" i="2"/>
  <c r="I489" i="1"/>
  <c r="D4" i="22"/>
  <c r="P26" i="2"/>
  <c r="L496" i="1"/>
  <c r="L492" i="1" l="1"/>
  <c r="J492" i="1"/>
  <c r="F31" i="3"/>
  <c r="C4" i="22" l="1"/>
  <c r="L495" i="1"/>
  <c r="E16" i="3" s="1"/>
  <c r="F16" i="3" s="1"/>
  <c r="D57" i="3" s="1"/>
  <c r="B4" i="22" l="1"/>
  <c r="E4" i="22" l="1"/>
</calcChain>
</file>

<file path=xl/comments1.xml><?xml version="1.0" encoding="utf-8"?>
<comments xmlns="http://schemas.openxmlformats.org/spreadsheetml/2006/main">
  <authors>
    <author>Molly McElroy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 xml:space="preserve">Molly McElroy: </t>
        </r>
        <r>
          <rPr>
            <sz val="9"/>
            <color indexed="81"/>
            <rFont val="Tahoma"/>
            <family val="2"/>
          </rPr>
          <t xml:space="preserve">Prices based on actual AMIs. </t>
        </r>
      </text>
    </comment>
  </commentList>
</comments>
</file>

<file path=xl/comments2.xml><?xml version="1.0" encoding="utf-8"?>
<comments xmlns="http://schemas.openxmlformats.org/spreadsheetml/2006/main">
  <authors>
    <author>Kathy Fedler</author>
  </authors>
  <commentList>
    <comment ref="P31" authorId="0" shapeId="0">
      <text>
        <r>
          <rPr>
            <b/>
            <sz val="9"/>
            <color indexed="81"/>
            <rFont val="Tahoma"/>
            <family val="2"/>
          </rPr>
          <t>Kathy Fedler:</t>
        </r>
        <r>
          <rPr>
            <sz val="9"/>
            <color indexed="81"/>
            <rFont val="Tahoma"/>
            <family val="2"/>
          </rPr>
          <t xml:space="preserve">
Should this be the average SF for all homes in Longmont?</t>
        </r>
      </text>
    </comment>
  </commentList>
</comments>
</file>

<file path=xl/sharedStrings.xml><?xml version="1.0" encoding="utf-8"?>
<sst xmlns="http://schemas.openxmlformats.org/spreadsheetml/2006/main" count="5305" uniqueCount="1573">
  <si>
    <t>PARCELNB</t>
  </si>
  <si>
    <t>PROPERTY_ADDRESS</t>
  </si>
  <si>
    <t>LOCCITY</t>
  </si>
  <si>
    <t>SUBNAME</t>
  </si>
  <si>
    <t>ACCOUNT_TYPE</t>
  </si>
  <si>
    <t>LAND_CLASSIFICATION</t>
  </si>
  <si>
    <t>APPROXIMATE_LAND_SIZE</t>
  </si>
  <si>
    <t>SALE_DATE</t>
  </si>
  <si>
    <t>SALE_PRICE</t>
  </si>
  <si>
    <t>GRANTOR</t>
  </si>
  <si>
    <t>GRANTEE</t>
  </si>
  <si>
    <t>OWNER_NAME</t>
  </si>
  <si>
    <t>LAND_VALUE</t>
  </si>
  <si>
    <t>BLDG_VALUE</t>
  </si>
  <si>
    <t>RESIDENTIAL</t>
  </si>
  <si>
    <t>SINGLE FAM.RES.-LAND</t>
  </si>
  <si>
    <t>RESIDENT LAND</t>
  </si>
  <si>
    <t>VACANT LAND</t>
  </si>
  <si>
    <t>VACANT RES LOTS</t>
  </si>
  <si>
    <t>5 AC TO L/T 10 AC</t>
  </si>
  <si>
    <t>131515125002</t>
  </si>
  <si>
    <t xml:space="preserve">1311 JOHNSTON CT </t>
  </si>
  <si>
    <t>LONGMONT</t>
  </si>
  <si>
    <t>QUAIL RIDGE REPLAT C - LG</t>
  </si>
  <si>
    <t>Residential Discounted Subdivision_SF</t>
  </si>
  <si>
    <t>SOUTH LONGMONT DEVELOPMENT INC</t>
  </si>
  <si>
    <t>FLATIRONS HOMES INC</t>
  </si>
  <si>
    <t>131515138001</t>
  </si>
  <si>
    <t xml:space="preserve">1317 COUNTRY  CT </t>
  </si>
  <si>
    <t>MERITAGE HOMES OF COLORADO INC</t>
  </si>
  <si>
    <t>LENNAR COLORADO LLC</t>
  </si>
  <si>
    <t>131712014011</t>
  </si>
  <si>
    <t xml:space="preserve">1115 MOUNTAIN DR </t>
  </si>
  <si>
    <t>WEST GRANGE 1</t>
  </si>
  <si>
    <t>WEST GRANGE LLC</t>
  </si>
  <si>
    <t>DFH MANDARIN LLC</t>
  </si>
  <si>
    <t>131712014012</t>
  </si>
  <si>
    <t xml:space="preserve">1111 MOUNTAIN DR </t>
  </si>
  <si>
    <t>131712014013</t>
  </si>
  <si>
    <t xml:space="preserve">1107 MOUNTAIN DR </t>
  </si>
  <si>
    <t>131712014014</t>
  </si>
  <si>
    <t xml:space="preserve">1103 MOUNTAIN DR </t>
  </si>
  <si>
    <t>131712014015</t>
  </si>
  <si>
    <t xml:space="preserve">1099 MOUNTAIN DR </t>
  </si>
  <si>
    <t>131712014016</t>
  </si>
  <si>
    <t xml:space="preserve">1095 MOUNTAIN DR </t>
  </si>
  <si>
    <t>131712014017</t>
  </si>
  <si>
    <t xml:space="preserve">1091 MOUNTAIN DR </t>
  </si>
  <si>
    <t>131712014018</t>
  </si>
  <si>
    <t xml:space="preserve">1087 MOUNTAIN DR </t>
  </si>
  <si>
    <t>131712014019</t>
  </si>
  <si>
    <t xml:space="preserve">1083 MOUNTAIN DR </t>
  </si>
  <si>
    <t>131712014020</t>
  </si>
  <si>
    <t xml:space="preserve">1077 MOUNTAIN DR </t>
  </si>
  <si>
    <t>131518319009</t>
  </si>
  <si>
    <t xml:space="preserve">5020 MAXWELL AVE </t>
  </si>
  <si>
    <t>CLOVER BASIN RANCH</t>
  </si>
  <si>
    <t>DFH CLOVER LLC</t>
  </si>
  <si>
    <t>131518320002</t>
  </si>
  <si>
    <t xml:space="preserve">4940 MAXWELL AVE </t>
  </si>
  <si>
    <t>131518320004</t>
  </si>
  <si>
    <t xml:space="preserve">4928 MAXWELL AVE </t>
  </si>
  <si>
    <t>DFH CLOVER BASIN RANCH LLC</t>
  </si>
  <si>
    <t>131518321004</t>
  </si>
  <si>
    <t xml:space="preserve">4863 MAXWELL AVE </t>
  </si>
  <si>
    <t>131518321006</t>
  </si>
  <si>
    <t xml:space="preserve">1842 HIGH PLAINS DR </t>
  </si>
  <si>
    <t>131518322002</t>
  </si>
  <si>
    <t xml:space="preserve">4931 MAXWELL AVE </t>
  </si>
  <si>
    <t>131518322003</t>
  </si>
  <si>
    <t xml:space="preserve">4937 MAXWELL AVE </t>
  </si>
  <si>
    <t>131518322004</t>
  </si>
  <si>
    <t xml:space="preserve">4941 MAXWELL AVE </t>
  </si>
  <si>
    <t>131518322005</t>
  </si>
  <si>
    <t xml:space="preserve">4945 MAXWELL AVE </t>
  </si>
  <si>
    <t>131518315001</t>
  </si>
  <si>
    <t xml:space="preserve">5138 OLD RANCH DR </t>
  </si>
  <si>
    <t>MEADOW VIEW ESTATES</t>
  </si>
  <si>
    <t>BHP MEADOW VIEW ESTATES LLC</t>
  </si>
  <si>
    <t>131518315002</t>
  </si>
  <si>
    <t xml:space="preserve">5132 OLD RANCH DR </t>
  </si>
  <si>
    <t>BHP MEADOW VIEW ESTATES</t>
  </si>
  <si>
    <t>131518315003</t>
  </si>
  <si>
    <t xml:space="preserve">5126 OLD RANCH DR </t>
  </si>
  <si>
    <t>131518316004</t>
  </si>
  <si>
    <t xml:space="preserve">5016 OLD RANCH DR </t>
  </si>
  <si>
    <t>131518316005</t>
  </si>
  <si>
    <t xml:space="preserve">5010 OLD RANCH DR </t>
  </si>
  <si>
    <t>131518317001</t>
  </si>
  <si>
    <t xml:space="preserve">5139 OLD RANCH DR </t>
  </si>
  <si>
    <t>131518317002</t>
  </si>
  <si>
    <t xml:space="preserve">5133 OLD RANCH DR </t>
  </si>
  <si>
    <t>131518317003</t>
  </si>
  <si>
    <t xml:space="preserve">5127 OLD RANCH DR </t>
  </si>
  <si>
    <t>131518317006</t>
  </si>
  <si>
    <t xml:space="preserve">5109 OLD RANCH DR </t>
  </si>
  <si>
    <t>131518317007</t>
  </si>
  <si>
    <t xml:space="preserve">5101 OLD RANCH DR </t>
  </si>
  <si>
    <t>131518317009</t>
  </si>
  <si>
    <t xml:space="preserve">5027 OLD RANCH DR </t>
  </si>
  <si>
    <t>131518317010</t>
  </si>
  <si>
    <t xml:space="preserve">5021 OLD RANCH DR </t>
  </si>
  <si>
    <t>131515125003</t>
  </si>
  <si>
    <t xml:space="preserve">1317 JOHNSTON CT </t>
  </si>
  <si>
    <t>131515354004</t>
  </si>
  <si>
    <t xml:space="preserve">1109 NEON FOREST CIR </t>
  </si>
  <si>
    <t>WALLACE ADDN 4TH FLG</t>
  </si>
  <si>
    <t>SUPPLEMENTAL DEC WALLACE ADDN 4TH FLG</t>
  </si>
  <si>
    <t>SCHMIDT ROD</t>
  </si>
  <si>
    <t>BURLINGTON NEIGHBORHOOD INC</t>
  </si>
  <si>
    <t>1 AC TO L/T 5 AC</t>
  </si>
  <si>
    <t>131515354002</t>
  </si>
  <si>
    <t xml:space="preserve">1105 NEON FOREST CIR </t>
  </si>
  <si>
    <t>LEACH MARGO G</t>
  </si>
  <si>
    <t>ECKERT JEFFREY M &amp; JODI</t>
  </si>
  <si>
    <t>131515125004</t>
  </si>
  <si>
    <t xml:space="preserve">1323 JOHNSTON CT </t>
  </si>
  <si>
    <t>131515125005</t>
  </si>
  <si>
    <t xml:space="preserve">1329 JOHNSTON CT </t>
  </si>
  <si>
    <t>120536167001</t>
  </si>
  <si>
    <t xml:space="preserve">0 17TH AVE </t>
  </si>
  <si>
    <t>SHADOW GRASS PARK CONVEYANCE PLAT</t>
  </si>
  <si>
    <t>FINISH LINE INVESTMENTS LLC</t>
  </si>
  <si>
    <t>SG APARTMENTS LONGMONT LLC</t>
  </si>
  <si>
    <t>120536167002</t>
  </si>
  <si>
    <t xml:space="preserve">0 SUNSHINE AVE </t>
  </si>
  <si>
    <t>131518320003</t>
  </si>
  <si>
    <t xml:space="preserve">4934 MAXWELL AVE </t>
  </si>
  <si>
    <t>131518321005</t>
  </si>
  <si>
    <t xml:space="preserve">1838 HIGH PLAINS DR </t>
  </si>
  <si>
    <t>120533141033</t>
  </si>
  <si>
    <t xml:space="preserve">1381 14TH AVE </t>
  </si>
  <si>
    <t>YEAGER FARM FLG 2</t>
  </si>
  <si>
    <t>LGI HOMES - COLORADO LLC</t>
  </si>
  <si>
    <t>LEO P INC</t>
  </si>
  <si>
    <t>131515128001</t>
  </si>
  <si>
    <t xml:space="preserve">226 PARKSIDE DR </t>
  </si>
  <si>
    <t>Totals</t>
  </si>
  <si>
    <t>Average</t>
  </si>
  <si>
    <t>average price per lot</t>
  </si>
  <si>
    <t>average lot sq ft</t>
  </si>
  <si>
    <t>APPROXIMATE LAND SIZE (Square Ft).</t>
  </si>
  <si>
    <t>Sales</t>
  </si>
  <si>
    <t>Number of lots in sale</t>
  </si>
  <si>
    <t>131515355009</t>
  </si>
  <si>
    <t xml:space="preserve">909 TEMPTED WAYS DR </t>
  </si>
  <si>
    <t>BURLINTON NEIGHBORHOOD INC</t>
  </si>
  <si>
    <t>FELIX G BRUCE</t>
  </si>
  <si>
    <t>131501132001</t>
  </si>
  <si>
    <t xml:space="preserve">730 SUMMER HAWK DR </t>
  </si>
  <si>
    <t>FOX MEADOWS FLG 4</t>
  </si>
  <si>
    <t>RCP FOX MEADOW LLC</t>
  </si>
  <si>
    <t>RICHFIELD HOMES LLC</t>
  </si>
  <si>
    <t>BOGARD MICHAEL &amp; DIANA TRUST</t>
  </si>
  <si>
    <t>131508319002</t>
  </si>
  <si>
    <t xml:space="preserve">8756 NELSON RD </t>
  </si>
  <si>
    <t>WATSON RESIDENCE CONVEYANCE</t>
  </si>
  <si>
    <t>DFPM LLC</t>
  </si>
  <si>
    <t>PARKES AT STONEBRIDGE LLC</t>
  </si>
  <si>
    <t>131515123002</t>
  </si>
  <si>
    <t xml:space="preserve">327 PARKSIDE DR </t>
  </si>
  <si>
    <t>COAST TO COAST RESIDENTIAL DEVELOPMENT INC</t>
  </si>
  <si>
    <t>CRAWFORD MARK ANDREW &amp; LARISSA JEAN RHODES</t>
  </si>
  <si>
    <t>120527107004</t>
  </si>
  <si>
    <t xml:space="preserve">84 21ST AVE </t>
  </si>
  <si>
    <t>RAYWELL ESTATES - LG</t>
  </si>
  <si>
    <t>POWELL MICHAEL MURRAY</t>
  </si>
  <si>
    <t>ORBAN DONALD B &amp; PATTY &amp; ROBERT T</t>
  </si>
  <si>
    <t>MACABE PARTNERS LLC</t>
  </si>
  <si>
    <t>120527150004</t>
  </si>
  <si>
    <t xml:space="preserve">0 MEADOW ST </t>
  </si>
  <si>
    <t>POWELL PLAZA - LG</t>
  </si>
  <si>
    <t>131515356006</t>
  </si>
  <si>
    <t xml:space="preserve">941 TEMPTED WAYS DR </t>
  </si>
  <si>
    <t>MARKEL HOMES CONSTRUCTION CO</t>
  </si>
  <si>
    <t>CAMPASSI KIM NORA &amp; JAMES PHILLP</t>
  </si>
  <si>
    <t>131501138004</t>
  </si>
  <si>
    <t xml:space="preserve">542 SUMMER HAWK DR </t>
  </si>
  <si>
    <t>DILLION KRISTA</t>
  </si>
  <si>
    <t>131501138005</t>
  </si>
  <si>
    <t xml:space="preserve">546 SUMMER HAWK DR </t>
  </si>
  <si>
    <t>BYERS MICHAEL S &amp; GENEVIEVE</t>
  </si>
  <si>
    <t>131501138006</t>
  </si>
  <si>
    <t xml:space="preserve">550 SUMMER HAWK DR </t>
  </si>
  <si>
    <t>CORLISS MATTHEW ROBERT &amp; OLIMPIA MEJIA RODRIGUEZ</t>
  </si>
  <si>
    <t>HABITAT FOR HUMANITY OF THE ST VRAIN VALLEY INC</t>
  </si>
  <si>
    <t>131515355002</t>
  </si>
  <si>
    <t xml:space="preserve">843 TEMPTED WAYS DR </t>
  </si>
  <si>
    <t>HOLMES MICAH &amp; LINDSEY M</t>
  </si>
  <si>
    <t>131501161009</t>
  </si>
  <si>
    <t xml:space="preserve">1704 STARDANCE CIR </t>
  </si>
  <si>
    <t>FOX MEADOWS FLG 3 REP A</t>
  </si>
  <si>
    <t>SUTAK TOM</t>
  </si>
  <si>
    <t>MOORE CARROL R &amp; CAROL L COMSTOCK MOORE</t>
  </si>
  <si>
    <t>131515124001</t>
  </si>
  <si>
    <t xml:space="preserve">307 PARKSIDE DR </t>
  </si>
  <si>
    <t>QR INVESTMENTS LLC</t>
  </si>
  <si>
    <t>FLATIRON HOMES INC</t>
  </si>
  <si>
    <t>131515124002</t>
  </si>
  <si>
    <t xml:space="preserve">311 PARKSIDE DR </t>
  </si>
  <si>
    <t>131515125001</t>
  </si>
  <si>
    <t xml:space="preserve">1305 JOHNSTON CT </t>
  </si>
  <si>
    <t>131515125006</t>
  </si>
  <si>
    <t xml:space="preserve">1330 COUNTRY CT </t>
  </si>
  <si>
    <t>131515125007</t>
  </si>
  <si>
    <t xml:space="preserve">1324 COUNTRY CT </t>
  </si>
  <si>
    <t>131515125008</t>
  </si>
  <si>
    <t xml:space="preserve">1318 COUNTRY CT </t>
  </si>
  <si>
    <t>131515125009</t>
  </si>
  <si>
    <t xml:space="preserve">1312 COUNTRY CT </t>
  </si>
  <si>
    <t>131515125010</t>
  </si>
  <si>
    <t xml:space="preserve">1306 COUNTRY CT </t>
  </si>
  <si>
    <t>131515126001</t>
  </si>
  <si>
    <t xml:space="preserve">1303 OAK CT </t>
  </si>
  <si>
    <t>131515126002</t>
  </si>
  <si>
    <t xml:space="preserve">1309 OAK CT </t>
  </si>
  <si>
    <t>131515126003</t>
  </si>
  <si>
    <t xml:space="preserve">1315 OAK CT </t>
  </si>
  <si>
    <t>131515126004</t>
  </si>
  <si>
    <t xml:space="preserve">1321 OAK CT </t>
  </si>
  <si>
    <t>131515126005</t>
  </si>
  <si>
    <t xml:space="preserve">1327 OAK CT </t>
  </si>
  <si>
    <t>131515126006</t>
  </si>
  <si>
    <t xml:space="preserve">1328 JOHNSTON CT </t>
  </si>
  <si>
    <t>131515126007</t>
  </si>
  <si>
    <t xml:space="preserve">1322 JOHNSTON CT </t>
  </si>
  <si>
    <t>131515126008</t>
  </si>
  <si>
    <t xml:space="preserve">1316 JOHNSTON CT </t>
  </si>
  <si>
    <t>131515126009</t>
  </si>
  <si>
    <t xml:space="preserve">1310 JOHNSTON CT </t>
  </si>
  <si>
    <t>131515126010</t>
  </si>
  <si>
    <t xml:space="preserve">1304 JOHNSTON CT </t>
  </si>
  <si>
    <t>131515127001</t>
  </si>
  <si>
    <t xml:space="preserve">1326 OAK CT </t>
  </si>
  <si>
    <t>131515127002</t>
  </si>
  <si>
    <t xml:space="preserve">1320 OAK CT </t>
  </si>
  <si>
    <t>131515127003</t>
  </si>
  <si>
    <t xml:space="preserve">1314 OAK CT </t>
  </si>
  <si>
    <t>131515127004</t>
  </si>
  <si>
    <t xml:space="preserve">1308 OAK CT </t>
  </si>
  <si>
    <t>131515127005</t>
  </si>
  <si>
    <t xml:space="preserve">1302 OAK CT </t>
  </si>
  <si>
    <t>131515127006</t>
  </si>
  <si>
    <t xml:space="preserve">1258 OAK CT </t>
  </si>
  <si>
    <t>131515174002</t>
  </si>
  <si>
    <t xml:space="preserve">1252 OAK CT </t>
  </si>
  <si>
    <t>QUAIL RIDGE REPLAT E</t>
  </si>
  <si>
    <t>131515174001</t>
  </si>
  <si>
    <t xml:space="preserve">1240 OAK CT </t>
  </si>
  <si>
    <t>120527150003</t>
  </si>
  <si>
    <t xml:space="preserve">30 21ST AVE </t>
  </si>
  <si>
    <t>120525088006</t>
  </si>
  <si>
    <t xml:space="preserve">2340 PROVENANCE ST </t>
  </si>
  <si>
    <t>PROVENANCE REP A</t>
  </si>
  <si>
    <t>KLOCEK RAYMOND LIVING TRUST &amp; MONICA P KOLECK LIVING TRUST</t>
  </si>
  <si>
    <t>KLOCEK RAYMOND LIVING TRUST &amp; MONICA P KLOCEK LIVING TRUST</t>
  </si>
  <si>
    <t>131501133004</t>
  </si>
  <si>
    <t xml:space="preserve">711 SUMMER HAWK DR </t>
  </si>
  <si>
    <t>SHRESTHA DANELLE T &amp; MANISH</t>
  </si>
  <si>
    <t>131501138003</t>
  </si>
  <si>
    <t xml:space="preserve">538 SUMMER HAWK DR </t>
  </si>
  <si>
    <t>WILLIAMS MATTHEW ARRON &amp; KAYLA DREW GEHRING</t>
  </si>
  <si>
    <t>131501138002</t>
  </si>
  <si>
    <t xml:space="preserve">534 SUMMER HAWK DR </t>
  </si>
  <si>
    <t>RICHFIELD HOME LOANS LLC</t>
  </si>
  <si>
    <t>ISAIS VALENTINE &amp; LUCILA BURGOS</t>
  </si>
  <si>
    <t>131518313036</t>
  </si>
  <si>
    <t xml:space="preserve">2425 SUMMERLIN CT </t>
  </si>
  <si>
    <t>SOMERSET MEADOWS FLG 5</t>
  </si>
  <si>
    <t>KB HOME COLORADO INC</t>
  </si>
  <si>
    <t>SOMERSET LAND TWO LLC</t>
  </si>
  <si>
    <t>HOFMANS MARC &amp; SHARON LAKE</t>
  </si>
  <si>
    <t>131518313037</t>
  </si>
  <si>
    <t xml:space="preserve">2419 SUMMERLIN CT </t>
  </si>
  <si>
    <t>ZELLE KENNETH &amp; SIMME A</t>
  </si>
  <si>
    <t>120525087006</t>
  </si>
  <si>
    <t xml:space="preserve">2335 PROVENANCE ST </t>
  </si>
  <si>
    <t>SCHMIDGALL CURT ALAN &amp; LORENIA</t>
  </si>
  <si>
    <t>120525088007</t>
  </si>
  <si>
    <t xml:space="preserve">2334 PROVENANCE ST </t>
  </si>
  <si>
    <t>HERTFELDER GUY C &amp; DONNA A</t>
  </si>
  <si>
    <t>131515355003</t>
  </si>
  <si>
    <t xml:space="preserve">847 TEMPTED WAYS DR </t>
  </si>
  <si>
    <t>CARRINGTON MARK C</t>
  </si>
  <si>
    <t>131501134004</t>
  </si>
  <si>
    <t xml:space="preserve">1844 WHITE FEATHER DR </t>
  </si>
  <si>
    <t>OSORIO HECTOR &amp; YOUNG H</t>
  </si>
  <si>
    <t>131501135004</t>
  </si>
  <si>
    <t xml:space="preserve">1809 WHITE FEATHER DR </t>
  </si>
  <si>
    <t>KIRKEVOLD CAMIE &amp; MATTHEW</t>
  </si>
  <si>
    <t>131501138001</t>
  </si>
  <si>
    <t xml:space="preserve">530 SUMMER HAWK DR </t>
  </si>
  <si>
    <t>HANDLEY SUSAN G &amp; MARK W</t>
  </si>
  <si>
    <t>120525087008</t>
  </si>
  <si>
    <t xml:space="preserve">2323 PROVENANCE ST </t>
  </si>
  <si>
    <t>DETTY ROY C &amp; DIANE M</t>
  </si>
  <si>
    <t>131518407012</t>
  </si>
  <si>
    <t xml:space="preserve">4146 HEATHERHILL CIR </t>
  </si>
  <si>
    <t>SOMERSET MEADOWS FLG 1</t>
  </si>
  <si>
    <t>REDSTONE HOMES LIMITED PARTNERSHIP NO.1</t>
  </si>
  <si>
    <t>COULTER WILLIAM L</t>
  </si>
  <si>
    <t>RIDGELINE BUILDING AND REMODELING LLC</t>
  </si>
  <si>
    <t>120536175006</t>
  </si>
  <si>
    <t xml:space="preserve">1502 MOONLIGHT DR </t>
  </si>
  <si>
    <t>EASTGATE FLG 4 AT SHADOW GRASS PARK</t>
  </si>
  <si>
    <t>VON'S 11 LLC</t>
  </si>
  <si>
    <t>ENNOR GARY &amp; PATRICIA</t>
  </si>
  <si>
    <t>131518407008</t>
  </si>
  <si>
    <t xml:space="preserve">4130 HEATHERHILL CIR </t>
  </si>
  <si>
    <t>REDSTONE HOMES LIMITED PARTNERSHIP NO 1</t>
  </si>
  <si>
    <t>ENGERMAN GEOFFREY ERWIN &amp; HANG THU NGUYEN</t>
  </si>
  <si>
    <t>131510401001</t>
  </si>
  <si>
    <t xml:space="preserve">239 WESTERN SKY CIR </t>
  </si>
  <si>
    <t>HARVEST JUNCTION VILLAGE</t>
  </si>
  <si>
    <t>OAKWOOD HOMES LLC</t>
  </si>
  <si>
    <t>RICHMOND AMERICAN HOMES OF COLORADO INC</t>
  </si>
  <si>
    <t>RICHMOND AMERICAN HOMES OF COLORADO</t>
  </si>
  <si>
    <t>131510401002</t>
  </si>
  <si>
    <t xml:space="preserve">233 WESTERN SKY CIR </t>
  </si>
  <si>
    <t>131510401003</t>
  </si>
  <si>
    <t xml:space="preserve">227 WESTERN SKY CIR </t>
  </si>
  <si>
    <t>131510401004</t>
  </si>
  <si>
    <t xml:space="preserve">221 WESTERN SKY CIR </t>
  </si>
  <si>
    <t>131510401005</t>
  </si>
  <si>
    <t xml:space="preserve">215 WESTERN SKY CIR </t>
  </si>
  <si>
    <t>131510401006</t>
  </si>
  <si>
    <t xml:space="preserve">209 WESTERN SKY CIR </t>
  </si>
  <si>
    <t>131510401007</t>
  </si>
  <si>
    <t xml:space="preserve">203 WESTERN SKY CIR </t>
  </si>
  <si>
    <t>131510401008</t>
  </si>
  <si>
    <t xml:space="preserve">197 WESTERN SKY CIR </t>
  </si>
  <si>
    <t>131510401009</t>
  </si>
  <si>
    <t xml:space="preserve">189 WESTERN SKY CIR </t>
  </si>
  <si>
    <t>131510401010</t>
  </si>
  <si>
    <t xml:space="preserve">183 WESTERN SKY CIR </t>
  </si>
  <si>
    <t>131510401011</t>
  </si>
  <si>
    <t xml:space="preserve">177 WESTERN SKY CIR </t>
  </si>
  <si>
    <t>131510401012</t>
  </si>
  <si>
    <t xml:space="preserve">171 WESTERN SKY CIR </t>
  </si>
  <si>
    <t>131510401013</t>
  </si>
  <si>
    <t xml:space="preserve">165 WESTERN SKY CIR </t>
  </si>
  <si>
    <t>131510401014</t>
  </si>
  <si>
    <t xml:space="preserve">159 WESTERN SKY CIR </t>
  </si>
  <si>
    <t>131510401015</t>
  </si>
  <si>
    <t xml:space="preserve">153 WESTERN SKY CIR </t>
  </si>
  <si>
    <t>131511301001</t>
  </si>
  <si>
    <t xml:space="preserve">143 WESTERN SKY CIR </t>
  </si>
  <si>
    <t>131511301002</t>
  </si>
  <si>
    <t xml:space="preserve">137 WESTERN SKY CIR </t>
  </si>
  <si>
    <t>131511301003</t>
  </si>
  <si>
    <t xml:space="preserve">131 WESTERN SKY CIR </t>
  </si>
  <si>
    <t>131511301004</t>
  </si>
  <si>
    <t xml:space="preserve">125 WESTERN SKY CIR </t>
  </si>
  <si>
    <t>131511301005</t>
  </si>
  <si>
    <t xml:space="preserve">119 WESTERN SKY CIR </t>
  </si>
  <si>
    <t>131511301006</t>
  </si>
  <si>
    <t xml:space="preserve">113 WESTERN SKY CIR </t>
  </si>
  <si>
    <t>131511301007</t>
  </si>
  <si>
    <t xml:space="preserve">107 WESTERN SKY CIR </t>
  </si>
  <si>
    <t>131511301008</t>
  </si>
  <si>
    <t xml:space="preserve">101 WESTERN SKY CIR </t>
  </si>
  <si>
    <t>131511301009</t>
  </si>
  <si>
    <t xml:space="preserve">95 WESTERN SKY CIR </t>
  </si>
  <si>
    <t>131510402001</t>
  </si>
  <si>
    <t xml:space="preserve">251 WESTERN SKY CIR </t>
  </si>
  <si>
    <t>131510402002</t>
  </si>
  <si>
    <t xml:space="preserve">257 WESTERN SKY CIR </t>
  </si>
  <si>
    <t>131510402003</t>
  </si>
  <si>
    <t xml:space="preserve">263 WESTERN SKY CIR </t>
  </si>
  <si>
    <t>131510402004</t>
  </si>
  <si>
    <t xml:space="preserve">269 WESTERN SKY CIR </t>
  </si>
  <si>
    <t>131510402005</t>
  </si>
  <si>
    <t xml:space="preserve">275 WESTERN SKY CIR </t>
  </si>
  <si>
    <t>131510402006</t>
  </si>
  <si>
    <t xml:space="preserve">279 WESTERN SKY CIR </t>
  </si>
  <si>
    <t>131510402007</t>
  </si>
  <si>
    <t xml:space="preserve">283 WESTERN SKY CIR </t>
  </si>
  <si>
    <t>131510402008</t>
  </si>
  <si>
    <t xml:space="preserve">287 WESTERN SKY CIR </t>
  </si>
  <si>
    <t>131510402009</t>
  </si>
  <si>
    <t xml:space="preserve">291 WESTERN SKY CIR </t>
  </si>
  <si>
    <t>131510402010</t>
  </si>
  <si>
    <t xml:space="preserve">295 WESTERN SKY CIR </t>
  </si>
  <si>
    <t>131510402011</t>
  </si>
  <si>
    <t xml:space="preserve">299 WESTERN SKY CIR </t>
  </si>
  <si>
    <t>131510402012</t>
  </si>
  <si>
    <t xml:space="preserve">303 WESTERN SKY CIR </t>
  </si>
  <si>
    <t>131510402013</t>
  </si>
  <si>
    <t xml:space="preserve">307 WESTERN SKY CIR </t>
  </si>
  <si>
    <t>131510402014</t>
  </si>
  <si>
    <t xml:space="preserve">311 WESTERN SKY CIR </t>
  </si>
  <si>
    <t>131510402015</t>
  </si>
  <si>
    <t xml:space="preserve">315 WESTERN SKY CIR </t>
  </si>
  <si>
    <t>131510402016</t>
  </si>
  <si>
    <t xml:space="preserve">319 WESTERN SKY CIR </t>
  </si>
  <si>
    <t>131510402017</t>
  </si>
  <si>
    <t xml:space="preserve">323 WESTERN SKY CIR </t>
  </si>
  <si>
    <t>131510402018</t>
  </si>
  <si>
    <t xml:space="preserve">327 WESTERN SKY CIR </t>
  </si>
  <si>
    <t>131510402019</t>
  </si>
  <si>
    <t xml:space="preserve">331 WESTERN SKY CIR </t>
  </si>
  <si>
    <t>131510402020</t>
  </si>
  <si>
    <t xml:space="preserve">337 WESTERN SKY CIR </t>
  </si>
  <si>
    <t>131510402021</t>
  </si>
  <si>
    <t xml:space="preserve">341 WESTERN SKY CIR </t>
  </si>
  <si>
    <t>131510402022</t>
  </si>
  <si>
    <t xml:space="preserve">345 WESTERN SKY CIR </t>
  </si>
  <si>
    <t>131510402023</t>
  </si>
  <si>
    <t xml:space="preserve">349 WESTERN SKY CIR </t>
  </si>
  <si>
    <t>131510402024</t>
  </si>
  <si>
    <t xml:space="preserve">353 WESTERN SKY CIR </t>
  </si>
  <si>
    <t>131510403001</t>
  </si>
  <si>
    <t xml:space="preserve">286 WESTERN SKY CIR </t>
  </si>
  <si>
    <t>131510403002</t>
  </si>
  <si>
    <t xml:space="preserve">272 WESTERN SKY CIR </t>
  </si>
  <si>
    <t>131510403003</t>
  </si>
  <si>
    <t xml:space="preserve">268 WESTERN SKY CIR </t>
  </si>
  <si>
    <t>131510403004</t>
  </si>
  <si>
    <t xml:space="preserve">264 WESTERN SKY CIR </t>
  </si>
  <si>
    <t>131510403005</t>
  </si>
  <si>
    <t xml:space="preserve">260 WESTERN SKY CIR </t>
  </si>
  <si>
    <t>131510403006</t>
  </si>
  <si>
    <t xml:space="preserve">256 WESTERN SKY CIR </t>
  </si>
  <si>
    <t>131510403007</t>
  </si>
  <si>
    <t xml:space="preserve">252 WESTERN SKY CIR </t>
  </si>
  <si>
    <t>131510403008</t>
  </si>
  <si>
    <t xml:space="preserve">175 SUGAR BEET CIR </t>
  </si>
  <si>
    <t>131510403009</t>
  </si>
  <si>
    <t xml:space="preserve">179 SUGAR BEET CIR </t>
  </si>
  <si>
    <t>131510403010</t>
  </si>
  <si>
    <t xml:space="preserve">185 SUGAR BEET CIR </t>
  </si>
  <si>
    <t>131510403011</t>
  </si>
  <si>
    <t xml:space="preserve">191 SUGAR BEET CIR </t>
  </si>
  <si>
    <t>131510403012</t>
  </si>
  <si>
    <t xml:space="preserve">195 SUGAR BEET CIR </t>
  </si>
  <si>
    <t>131510403013</t>
  </si>
  <si>
    <t xml:space="preserve">199 SUGAR BEET CIR </t>
  </si>
  <si>
    <t>131510403014</t>
  </si>
  <si>
    <t xml:space="preserve">205 SUGAR BEET CIR </t>
  </si>
  <si>
    <t>131510404001</t>
  </si>
  <si>
    <t xml:space="preserve">204 SUGAR BEET CIR </t>
  </si>
  <si>
    <t>131510404002</t>
  </si>
  <si>
    <t xml:space="preserve">198 SUGAR BEET CIR </t>
  </si>
  <si>
    <t>131510404003</t>
  </si>
  <si>
    <t xml:space="preserve">194 SUGAR BEET CIR </t>
  </si>
  <si>
    <t>131510404004</t>
  </si>
  <si>
    <t xml:space="preserve">190 SUGAR BEET CIR </t>
  </si>
  <si>
    <t>131510404005</t>
  </si>
  <si>
    <t xml:space="preserve">184 SUGAR BEET CIR </t>
  </si>
  <si>
    <t>131510404006</t>
  </si>
  <si>
    <t xml:space="preserve">178 SUGAR BEET CIR </t>
  </si>
  <si>
    <t>131510404007</t>
  </si>
  <si>
    <t xml:space="preserve">174 SUGAR BEET CIR </t>
  </si>
  <si>
    <t>131510404008</t>
  </si>
  <si>
    <t xml:space="preserve">1013 WOODGATE CT </t>
  </si>
  <si>
    <t>131510404009</t>
  </si>
  <si>
    <t xml:space="preserve">1017 WOODGATE CT </t>
  </si>
  <si>
    <t>131510404010</t>
  </si>
  <si>
    <t xml:space="preserve">1023 WOODGATE CT </t>
  </si>
  <si>
    <t>131510404011</t>
  </si>
  <si>
    <t xml:space="preserve">1029 WOODGATE CT </t>
  </si>
  <si>
    <t>131510404012</t>
  </si>
  <si>
    <t xml:space="preserve">1033 WOODGATE CT </t>
  </si>
  <si>
    <t>131510404013</t>
  </si>
  <si>
    <t xml:space="preserve">1037 WOODGATE CT </t>
  </si>
  <si>
    <t>131510404014</t>
  </si>
  <si>
    <t xml:space="preserve">1041 WOODGATE CT </t>
  </si>
  <si>
    <t>131511303001</t>
  </si>
  <si>
    <t xml:space="preserve">1042 WOODGATE CT </t>
  </si>
  <si>
    <t>131511303002</t>
  </si>
  <si>
    <t xml:space="preserve">1038 WOODGATE CT </t>
  </si>
  <si>
    <t>131511303003</t>
  </si>
  <si>
    <t xml:space="preserve">1034 WOODGATE CT </t>
  </si>
  <si>
    <t>131511303004</t>
  </si>
  <si>
    <t xml:space="preserve">1030 WOODGATE CT </t>
  </si>
  <si>
    <t>131511303005</t>
  </si>
  <si>
    <t xml:space="preserve">1026 WOODGATE CT </t>
  </si>
  <si>
    <t>131511303006</t>
  </si>
  <si>
    <t xml:space="preserve">1022 WOODGATE CT </t>
  </si>
  <si>
    <t>131511303007</t>
  </si>
  <si>
    <t xml:space="preserve">1018 WOODGATE CT </t>
  </si>
  <si>
    <t>131511303008</t>
  </si>
  <si>
    <t xml:space="preserve">1014 WOODGATE CT </t>
  </si>
  <si>
    <t>131511303009</t>
  </si>
  <si>
    <t xml:space="preserve">1010 WOODGATE CT </t>
  </si>
  <si>
    <t>131511303010</t>
  </si>
  <si>
    <t xml:space="preserve">1003 HIGH MEADOW CT </t>
  </si>
  <si>
    <t>131511303011</t>
  </si>
  <si>
    <t xml:space="preserve">1007 HIGH MEADOW CT </t>
  </si>
  <si>
    <t>131511303012</t>
  </si>
  <si>
    <t xml:space="preserve">1011 HIGH MEADOW CT </t>
  </si>
  <si>
    <t>131511303013</t>
  </si>
  <si>
    <t xml:space="preserve">1015 HIGH MEADOW CT </t>
  </si>
  <si>
    <t>131511303014</t>
  </si>
  <si>
    <t xml:space="preserve">1019 HIGH MEADOW CT </t>
  </si>
  <si>
    <t>131511303015</t>
  </si>
  <si>
    <t xml:space="preserve">1023 HIGH MEADOW CT </t>
  </si>
  <si>
    <t>131511303016</t>
  </si>
  <si>
    <t xml:space="preserve">1027 HIGH MEADOW CT </t>
  </si>
  <si>
    <t>131511303017</t>
  </si>
  <si>
    <t xml:space="preserve">1031 HIGH MEADOW CT </t>
  </si>
  <si>
    <t>131511301010</t>
  </si>
  <si>
    <t xml:space="preserve">89 WESTERN SKY CIR </t>
  </si>
  <si>
    <t>131511303018</t>
  </si>
  <si>
    <t xml:space="preserve">1035 HIGH MEADOW CT </t>
  </si>
  <si>
    <t>131511303019</t>
  </si>
  <si>
    <t xml:space="preserve">1039 HIGH MEADOW CT </t>
  </si>
  <si>
    <t>131511304001</t>
  </si>
  <si>
    <t xml:space="preserve">1038 HIGH MEADOW CT </t>
  </si>
  <si>
    <t>131511304002</t>
  </si>
  <si>
    <t xml:space="preserve">1034 HIGH MEADOW CT </t>
  </si>
  <si>
    <t>131511304003</t>
  </si>
  <si>
    <t xml:space="preserve">1030 HIGH MEADOW CT </t>
  </si>
  <si>
    <t>131511304004</t>
  </si>
  <si>
    <t xml:space="preserve">1026 HIGH MEADOW CT </t>
  </si>
  <si>
    <t>131511304005</t>
  </si>
  <si>
    <t xml:space="preserve">1022 HIGH MEADOW CT </t>
  </si>
  <si>
    <t>131511304006</t>
  </si>
  <si>
    <t xml:space="preserve">1018 HIGH MEADOW CT </t>
  </si>
  <si>
    <t>131511304007</t>
  </si>
  <si>
    <t xml:space="preserve">1014 HIGH MEADOW CT </t>
  </si>
  <si>
    <t>131511304008</t>
  </si>
  <si>
    <t xml:space="preserve">1010 HIGH MEADOW CT </t>
  </si>
  <si>
    <t>131511304009</t>
  </si>
  <si>
    <t xml:space="preserve">1006 HIGH MEADOW CT </t>
  </si>
  <si>
    <t>131511304010</t>
  </si>
  <si>
    <t xml:space="preserve">1002 HIGH MEADOW CT </t>
  </si>
  <si>
    <t>131511304011</t>
  </si>
  <si>
    <t xml:space="preserve">1003 DEER POND CT </t>
  </si>
  <si>
    <t>131511304012</t>
  </si>
  <si>
    <t xml:space="preserve">1007 DEER POND CT </t>
  </si>
  <si>
    <t>131511304013</t>
  </si>
  <si>
    <t xml:space="preserve">1011 DEER POND CT </t>
  </si>
  <si>
    <t>131511304014</t>
  </si>
  <si>
    <t xml:space="preserve">1015 DEER POND CT </t>
  </si>
  <si>
    <t>131511304015</t>
  </si>
  <si>
    <t xml:space="preserve">1019 DEER POND CT </t>
  </si>
  <si>
    <t>131511304016</t>
  </si>
  <si>
    <t xml:space="preserve">1023 DEER POND CT </t>
  </si>
  <si>
    <t>131511304017</t>
  </si>
  <si>
    <t xml:space="preserve">1027 DEER POND CT </t>
  </si>
  <si>
    <t>131511304018</t>
  </si>
  <si>
    <t xml:space="preserve">1031 DEER POND CT </t>
  </si>
  <si>
    <t>131511304019</t>
  </si>
  <si>
    <t xml:space="preserve">1035 DEER POND CT </t>
  </si>
  <si>
    <t>131511304020</t>
  </si>
  <si>
    <t xml:space="preserve">1039 DEER POND CT </t>
  </si>
  <si>
    <t>131511307001</t>
  </si>
  <si>
    <t xml:space="preserve">154 SUGAR BEET CIR </t>
  </si>
  <si>
    <t>131511307002</t>
  </si>
  <si>
    <t xml:space="preserve">144 SUGAR BEET CIR </t>
  </si>
  <si>
    <t>131511307003</t>
  </si>
  <si>
    <t xml:space="preserve">136 SUGAR BEET CIR </t>
  </si>
  <si>
    <t>131511307004</t>
  </si>
  <si>
    <t xml:space="preserve">122 SUGAR BEET CIR </t>
  </si>
  <si>
    <t>131511307005</t>
  </si>
  <si>
    <t xml:space="preserve">116 SUGAR BEET CIR </t>
  </si>
  <si>
    <t>131511307006</t>
  </si>
  <si>
    <t xml:space="preserve">110 SUGAR BEET CIR </t>
  </si>
  <si>
    <t>131511307007</t>
  </si>
  <si>
    <t xml:space="preserve">60 SUGAR BEET CIR </t>
  </si>
  <si>
    <t>131511307008</t>
  </si>
  <si>
    <t xml:space="preserve">52 SUGAR BEET CIR </t>
  </si>
  <si>
    <t>131511307009</t>
  </si>
  <si>
    <t xml:space="preserve">46 SUGAR BEET CIR </t>
  </si>
  <si>
    <t>131511307010</t>
  </si>
  <si>
    <t xml:space="preserve">40 SUGAR BEET CIR </t>
  </si>
  <si>
    <t>131511307011</t>
  </si>
  <si>
    <t xml:space="preserve">34 SUGAR BEET CIR </t>
  </si>
  <si>
    <t>131511307012</t>
  </si>
  <si>
    <t xml:space="preserve">28 SUGAR BEET CIR </t>
  </si>
  <si>
    <t>131511307013</t>
  </si>
  <si>
    <t xml:space="preserve">18 SUGAR BEET CIR </t>
  </si>
  <si>
    <t>131511307014</t>
  </si>
  <si>
    <t xml:space="preserve">4 SUGAR BEET CIR </t>
  </si>
  <si>
    <t>131511307015</t>
  </si>
  <si>
    <t xml:space="preserve">52 BOUNTIFUL AVE </t>
  </si>
  <si>
    <t>131511307016</t>
  </si>
  <si>
    <t xml:space="preserve">56 BOUNTIFUL AVE </t>
  </si>
  <si>
    <t>131511307017</t>
  </si>
  <si>
    <t xml:space="preserve">60 BOUNTIFUL AVE </t>
  </si>
  <si>
    <t>131511307018</t>
  </si>
  <si>
    <t xml:space="preserve">64 BOUNTIFUL AVE </t>
  </si>
  <si>
    <t>131511307019</t>
  </si>
  <si>
    <t xml:space="preserve">68 BOUNTIFUL AVE </t>
  </si>
  <si>
    <t>131511307020</t>
  </si>
  <si>
    <t xml:space="preserve">72 BOUNTIFUL AVE </t>
  </si>
  <si>
    <t>131511307021</t>
  </si>
  <si>
    <t xml:space="preserve">78 BOUNTIFUL AVE </t>
  </si>
  <si>
    <t>131511307022</t>
  </si>
  <si>
    <t xml:space="preserve">82 BOUNTIFUL AVE </t>
  </si>
  <si>
    <t>131511307023</t>
  </si>
  <si>
    <t xml:space="preserve">86 BOUNTIFUL AVE </t>
  </si>
  <si>
    <t>131511307024</t>
  </si>
  <si>
    <t xml:space="preserve">90 BOUNTIFUL AVE </t>
  </si>
  <si>
    <t>131511307025</t>
  </si>
  <si>
    <t xml:space="preserve">96 BOUNTIFUL AVE </t>
  </si>
  <si>
    <t>131510405001</t>
  </si>
  <si>
    <t xml:space="preserve">232 WESTERN SKY CIR </t>
  </si>
  <si>
    <t>131510405002</t>
  </si>
  <si>
    <t xml:space="preserve">224 WESTERN SKY CIR </t>
  </si>
  <si>
    <t>131510405003</t>
  </si>
  <si>
    <t xml:space="preserve">218 WESTERN SKY CIR </t>
  </si>
  <si>
    <t>131510405004</t>
  </si>
  <si>
    <t xml:space="preserve">212 WESTERN SKY CIR </t>
  </si>
  <si>
    <t>131510405005</t>
  </si>
  <si>
    <t xml:space="preserve">204 WESTERN SKY CIR </t>
  </si>
  <si>
    <t>131510405006</t>
  </si>
  <si>
    <t xml:space="preserve">196 WESTERN SKY CIR </t>
  </si>
  <si>
    <t>131510405007</t>
  </si>
  <si>
    <t xml:space="preserve">184 WESTERN SKY CIR </t>
  </si>
  <si>
    <t>131510405008</t>
  </si>
  <si>
    <t xml:space="preserve">176 WESTERN SKY CIR </t>
  </si>
  <si>
    <t>131510405009</t>
  </si>
  <si>
    <t xml:space="preserve">170 WESTERN SKY CIR </t>
  </si>
  <si>
    <t>131510405010</t>
  </si>
  <si>
    <t xml:space="preserve">164 WESTERN SKY CIR </t>
  </si>
  <si>
    <t>131510405011</t>
  </si>
  <si>
    <t xml:space="preserve">158 WESTERN SKY CIR </t>
  </si>
  <si>
    <t>131510405012</t>
  </si>
  <si>
    <t xml:space="preserve">152 WESTERN SKY CIR </t>
  </si>
  <si>
    <t>131510405013</t>
  </si>
  <si>
    <t xml:space="preserve">111 SUGAR BEET CIR </t>
  </si>
  <si>
    <t>131510405014</t>
  </si>
  <si>
    <t xml:space="preserve">117 SUGAR BEET CIR </t>
  </si>
  <si>
    <t>131510405015</t>
  </si>
  <si>
    <t xml:space="preserve">123 SUGAR BEET CIR </t>
  </si>
  <si>
    <t>131510405016</t>
  </si>
  <si>
    <t xml:space="preserve">129 SUGAR BEET CIR </t>
  </si>
  <si>
    <t>131510405017</t>
  </si>
  <si>
    <t xml:space="preserve">135 SUGAR BEET CIR </t>
  </si>
  <si>
    <t>131510405018</t>
  </si>
  <si>
    <t xml:space="preserve">143 SUGAR BEET CIR </t>
  </si>
  <si>
    <t>131510405019</t>
  </si>
  <si>
    <t xml:space="preserve">149 SUGAR BEET CIR </t>
  </si>
  <si>
    <t>131510405020</t>
  </si>
  <si>
    <t xml:space="preserve">157 SUGAR BEET CIR </t>
  </si>
  <si>
    <t>131510405021</t>
  </si>
  <si>
    <t xml:space="preserve">163 SUGAR BEET CIR </t>
  </si>
  <si>
    <t>131511308001</t>
  </si>
  <si>
    <t xml:space="preserve">134 WESTERN SKY CIR </t>
  </si>
  <si>
    <t>131511308002</t>
  </si>
  <si>
    <t xml:space="preserve">126 WESTERN SKY CIR </t>
  </si>
  <si>
    <t>131511308003</t>
  </si>
  <si>
    <t xml:space="preserve">120 WESTERN SKY CIR </t>
  </si>
  <si>
    <t>131511308004</t>
  </si>
  <si>
    <t xml:space="preserve">114 WESTERN SKY CIR </t>
  </si>
  <si>
    <t>131511308005</t>
  </si>
  <si>
    <t xml:space="preserve">108 WESTERN SKY CIR </t>
  </si>
  <si>
    <t>131511308006</t>
  </si>
  <si>
    <t xml:space="preserve">100 WESTERN SKY CIR </t>
  </si>
  <si>
    <t>131511308007</t>
  </si>
  <si>
    <t xml:space="preserve">94 WESTERN SKY CIR </t>
  </si>
  <si>
    <t>131511308008</t>
  </si>
  <si>
    <t xml:space="preserve">88 WESTERN SKY CIR </t>
  </si>
  <si>
    <t>131511308009</t>
  </si>
  <si>
    <t xml:space="preserve">82 WESTERN SKY CIR </t>
  </si>
  <si>
    <t>131511308021</t>
  </si>
  <si>
    <t xml:space="preserve">95 SUGAR BEET CIR </t>
  </si>
  <si>
    <t>131511308022</t>
  </si>
  <si>
    <t xml:space="preserve">89 SUGAR BEET CIR </t>
  </si>
  <si>
    <t>131511308023</t>
  </si>
  <si>
    <t xml:space="preserve">83 SUGAR BEET CIR </t>
  </si>
  <si>
    <t>131511308024</t>
  </si>
  <si>
    <t xml:space="preserve">77 SUGAR BEET CIR </t>
  </si>
  <si>
    <t>131511308025</t>
  </si>
  <si>
    <t xml:space="preserve">71 SUGAR BEET CIR </t>
  </si>
  <si>
    <t>131511308026</t>
  </si>
  <si>
    <t xml:space="preserve">65 SUGAR BEET CIR </t>
  </si>
  <si>
    <t>131511308027</t>
  </si>
  <si>
    <t xml:space="preserve">59 SUGAR BEET CIR </t>
  </si>
  <si>
    <t>131511308028</t>
  </si>
  <si>
    <t xml:space="preserve">53 SUGAR BEET CIR </t>
  </si>
  <si>
    <t>131511308029</t>
  </si>
  <si>
    <t xml:space="preserve">47 SUGAR BEET CIR </t>
  </si>
  <si>
    <t>131511308030</t>
  </si>
  <si>
    <t xml:space="preserve">39 SUGAR BEET CIR </t>
  </si>
  <si>
    <t>131511308031</t>
  </si>
  <si>
    <t xml:space="preserve">33 SUGAR BEET CIR </t>
  </si>
  <si>
    <t>131511308032</t>
  </si>
  <si>
    <t xml:space="preserve">27 SUGAR BEET CIR </t>
  </si>
  <si>
    <t>131511308033</t>
  </si>
  <si>
    <t xml:space="preserve">21 SUGAR BEET CIR </t>
  </si>
  <si>
    <t>131511308034</t>
  </si>
  <si>
    <t xml:space="preserve">15 SUGAR BEET CIR </t>
  </si>
  <si>
    <t>131511308035</t>
  </si>
  <si>
    <t xml:space="preserve">9 SUGAR BEET CIR </t>
  </si>
  <si>
    <t>131511308036</t>
  </si>
  <si>
    <t xml:space="preserve">3 SUGAR BEET CIR </t>
  </si>
  <si>
    <t>131518313153</t>
  </si>
  <si>
    <t xml:space="preserve">2042 SICILY CIR </t>
  </si>
  <si>
    <t>KB HOME COLORADO INCO</t>
  </si>
  <si>
    <t>NEW DIRECTION IRA FBO 1164664</t>
  </si>
  <si>
    <t>131518407007</t>
  </si>
  <si>
    <t xml:space="preserve">4126 HEATHERHILL CIR </t>
  </si>
  <si>
    <t>REDSTONE HOMES LIMITED PARTNERSHIP</t>
  </si>
  <si>
    <t>CIESLINSKI ROB</t>
  </si>
  <si>
    <t>131501147005</t>
  </si>
  <si>
    <t xml:space="preserve">523 DEERWOOD DR </t>
  </si>
  <si>
    <t>REGISTER LISA &amp; MICHAEL S</t>
  </si>
  <si>
    <t>131501131005</t>
  </si>
  <si>
    <t xml:space="preserve">403 DEERWOOD DR </t>
  </si>
  <si>
    <t>POEPPING DENISE &amp; MATT</t>
  </si>
  <si>
    <t>131501135002</t>
  </si>
  <si>
    <t xml:space="preserve">1817 WHITE FEATHER DR </t>
  </si>
  <si>
    <t>WILSON SUSAN M</t>
  </si>
  <si>
    <t>131518313134</t>
  </si>
  <si>
    <t xml:space="preserve">2135 SUMMERLIN LN </t>
  </si>
  <si>
    <t>DAVENPORT ANDREW J &amp; SAIKA</t>
  </si>
  <si>
    <t>131515363011</t>
  </si>
  <si>
    <t xml:space="preserve">920 PLATEAU RD </t>
  </si>
  <si>
    <t>WURTZ JEFFREY A &amp; DENISE</t>
  </si>
  <si>
    <t>131712020001</t>
  </si>
  <si>
    <t xml:space="preserve">725 KUBAT LN </t>
  </si>
  <si>
    <t>WEST GRANGE FLG 2</t>
  </si>
  <si>
    <t>WEST GRANGE DEVELOPMENT INC</t>
  </si>
  <si>
    <t>WGC INVESTMENTS LLC ET AL</t>
  </si>
  <si>
    <t>WEST GRANGE DEVELOPMENT INC ET AL</t>
  </si>
  <si>
    <t>WILLIAM &amp; ASSOCIATES INVESTMENT COMPANY INC</t>
  </si>
  <si>
    <t xml:space="preserve">802 MOUNTAIN DR </t>
  </si>
  <si>
    <t>131712029010</t>
  </si>
  <si>
    <t>TR, NBR 803-830 RURAL BO &amp; LGT</t>
  </si>
  <si>
    <t>131712029011</t>
  </si>
  <si>
    <t>120530403029</t>
  </si>
  <si>
    <t xml:space="preserve">3807 FOWLER LN </t>
  </si>
  <si>
    <t>LAKE MCINTOSH FARM</t>
  </si>
  <si>
    <t>LAKE MCINTOSH FARM LLC</t>
  </si>
  <si>
    <t>PIZZUTI MICHAEL JOHN</t>
  </si>
  <si>
    <t>131511301011</t>
  </si>
  <si>
    <t xml:space="preserve">83 WESTERN SKY CIR </t>
  </si>
  <si>
    <t>LONGMONT QUAIL ROAD LP</t>
  </si>
  <si>
    <t>131511302001</t>
  </si>
  <si>
    <t xml:space="preserve">365 WESTERN SKY CIR </t>
  </si>
  <si>
    <t>131511302002</t>
  </si>
  <si>
    <t xml:space="preserve">369 WESTERN SKY CIR </t>
  </si>
  <si>
    <t>131511302003</t>
  </si>
  <si>
    <t xml:space="preserve">373 WESTERN SKY CIR </t>
  </si>
  <si>
    <t>131511302004</t>
  </si>
  <si>
    <t xml:space="preserve">377 WESTERN SKY CIR </t>
  </si>
  <si>
    <t>131511302005</t>
  </si>
  <si>
    <t xml:space="preserve">387 WESTERN SKY CIR </t>
  </si>
  <si>
    <t>131511302006</t>
  </si>
  <si>
    <t xml:space="preserve">391 WESTERN SKY CIR </t>
  </si>
  <si>
    <t>131511302007</t>
  </si>
  <si>
    <t xml:space="preserve">395 WESTERN SKY CIR </t>
  </si>
  <si>
    <t>131511302008</t>
  </si>
  <si>
    <t xml:space="preserve">399 WESTERN SKY CIR </t>
  </si>
  <si>
    <t>131511302009</t>
  </si>
  <si>
    <t xml:space="preserve">403 WESTERN SKY CIR </t>
  </si>
  <si>
    <t>131511302010</t>
  </si>
  <si>
    <t xml:space="preserve">409 WESTERN SKY CIR </t>
  </si>
  <si>
    <t>131511302011</t>
  </si>
  <si>
    <t xml:space="preserve">413 WESTERN SKY CIR </t>
  </si>
  <si>
    <t>131511302012</t>
  </si>
  <si>
    <t xml:space="preserve">417 WESTERN SKY CIR </t>
  </si>
  <si>
    <t>131511302013</t>
  </si>
  <si>
    <t xml:space="preserve">421 WESTERN SKY CIR </t>
  </si>
  <si>
    <t>131511302014</t>
  </si>
  <si>
    <t xml:space="preserve">425 WESTERN SKY CIR </t>
  </si>
  <si>
    <t>131511302015</t>
  </si>
  <si>
    <t xml:space="preserve">429 WESTERN SKY CIR </t>
  </si>
  <si>
    <t>131511302016</t>
  </si>
  <si>
    <t xml:space="preserve">433 WESTERN SKY CIR </t>
  </si>
  <si>
    <t>131511302017</t>
  </si>
  <si>
    <t xml:space="preserve">437 WESTERN SKY CIR </t>
  </si>
  <si>
    <t>131511302018</t>
  </si>
  <si>
    <t xml:space="preserve">441 WESTERN SKY CIR </t>
  </si>
  <si>
    <t>131511302019</t>
  </si>
  <si>
    <t xml:space="preserve">445 WESTERN SKY CIR </t>
  </si>
  <si>
    <t>131511302020</t>
  </si>
  <si>
    <t xml:space="preserve">449 WESTERN SKY CIR </t>
  </si>
  <si>
    <t>131511302021</t>
  </si>
  <si>
    <t xml:space="preserve">453 WESTERN SKY CIR </t>
  </si>
  <si>
    <t>131511302022</t>
  </si>
  <si>
    <t xml:space="preserve">457 WESTERN SKY CIR </t>
  </si>
  <si>
    <t>131511302023</t>
  </si>
  <si>
    <t xml:space="preserve">461 WESTERN SKY CIR </t>
  </si>
  <si>
    <t>131511302024</t>
  </si>
  <si>
    <t xml:space="preserve">465 WESTERN SKY CIR </t>
  </si>
  <si>
    <t>131511302025</t>
  </si>
  <si>
    <t xml:space="preserve">469 WESTERN SKY CIR </t>
  </si>
  <si>
    <t>131511305001</t>
  </si>
  <si>
    <t xml:space="preserve">1038 DEER POND CT </t>
  </si>
  <si>
    <t>131511305002</t>
  </si>
  <si>
    <t xml:space="preserve">1034 DEER POND CT </t>
  </si>
  <si>
    <t>131511305003</t>
  </si>
  <si>
    <t xml:space="preserve">1030 DEER POND CT </t>
  </si>
  <si>
    <t>131511305004</t>
  </si>
  <si>
    <t xml:space="preserve">1026 DEER POND CT </t>
  </si>
  <si>
    <t>131511305005</t>
  </si>
  <si>
    <t xml:space="preserve">1022 DEER POND CT </t>
  </si>
  <si>
    <t>131511305006</t>
  </si>
  <si>
    <t xml:space="preserve">1018 DEER POND CT </t>
  </si>
  <si>
    <t>131511305007</t>
  </si>
  <si>
    <t xml:space="preserve">1014 DEER POND CT </t>
  </si>
  <si>
    <t>131511305008</t>
  </si>
  <si>
    <t xml:space="preserve">1010 DEER POND CT </t>
  </si>
  <si>
    <t>131511305009</t>
  </si>
  <si>
    <t xml:space="preserve">1006 DEER POND CT </t>
  </si>
  <si>
    <t>131511305010</t>
  </si>
  <si>
    <t xml:space="preserve">1002 DEER POND CT </t>
  </si>
  <si>
    <t>131511305011</t>
  </si>
  <si>
    <t xml:space="preserve">1005 SUGAR BEET CIR </t>
  </si>
  <si>
    <t>131511305012</t>
  </si>
  <si>
    <t xml:space="preserve">1009 SUGAR BEET CIR </t>
  </si>
  <si>
    <t>131511305013</t>
  </si>
  <si>
    <t xml:space="preserve">1013 SUGAR BEET CIR </t>
  </si>
  <si>
    <t>131511305014</t>
  </si>
  <si>
    <t xml:space="preserve">1017 SUGAR BEET CIR </t>
  </si>
  <si>
    <t>131511305015</t>
  </si>
  <si>
    <t xml:space="preserve">1021 SUGAR BEET CIR </t>
  </si>
  <si>
    <t>131511305016</t>
  </si>
  <si>
    <t xml:space="preserve">1025 SUGAR BEET CIR </t>
  </si>
  <si>
    <t>131511305017</t>
  </si>
  <si>
    <t xml:space="preserve">1029 SUGAR BEET CIR </t>
  </si>
  <si>
    <t>131511305018</t>
  </si>
  <si>
    <t xml:space="preserve">1033 SUGAR BEET CIR </t>
  </si>
  <si>
    <t>131511305019</t>
  </si>
  <si>
    <t xml:space="preserve">1037 SUGAR BEET CIR </t>
  </si>
  <si>
    <t>131511305020</t>
  </si>
  <si>
    <t xml:space="preserve">1041 SUGAR BEET CIR </t>
  </si>
  <si>
    <t>131511306001</t>
  </si>
  <si>
    <t xml:space="preserve">1040 SUGAR BEET CIR </t>
  </si>
  <si>
    <t>131511306002</t>
  </si>
  <si>
    <t xml:space="preserve">1036 SUGAR BEET CIR </t>
  </si>
  <si>
    <t>131511306003</t>
  </si>
  <si>
    <t xml:space="preserve">1032 SUGAR BEET CIR </t>
  </si>
  <si>
    <t>131511306004</t>
  </si>
  <si>
    <t xml:space="preserve">1028 SUGAR BEET CIR </t>
  </si>
  <si>
    <t>131511306005</t>
  </si>
  <si>
    <t xml:space="preserve">1024 SUGAR BEET CIR </t>
  </si>
  <si>
    <t>131511306006</t>
  </si>
  <si>
    <t xml:space="preserve">1020 SUGAR BEET CIR </t>
  </si>
  <si>
    <t>131511306007</t>
  </si>
  <si>
    <t xml:space="preserve">1016 SUGAR BEET CIR </t>
  </si>
  <si>
    <t>131511306008</t>
  </si>
  <si>
    <t xml:space="preserve">1012 SUGAR BEET CIR </t>
  </si>
  <si>
    <t>131511306009</t>
  </si>
  <si>
    <t xml:space="preserve">1008 SUGAR BEET CIR </t>
  </si>
  <si>
    <t>131511306010</t>
  </si>
  <si>
    <t xml:space="preserve">1004 SUGAR BEET CIR </t>
  </si>
  <si>
    <t>131511306011</t>
  </si>
  <si>
    <t xml:space="preserve">468 WESTERN SKY CIR </t>
  </si>
  <si>
    <t>131511306012</t>
  </si>
  <si>
    <t xml:space="preserve">464 WESTERN SKY CIR </t>
  </si>
  <si>
    <t>131511306013</t>
  </si>
  <si>
    <t xml:space="preserve">460 WESTERN SKY CIR </t>
  </si>
  <si>
    <t>131511306014</t>
  </si>
  <si>
    <t xml:space="preserve">456 WESTERN SKY CIR </t>
  </si>
  <si>
    <t>131511306015</t>
  </si>
  <si>
    <t xml:space="preserve">452 WESTERN SKY CIR </t>
  </si>
  <si>
    <t>131511306016</t>
  </si>
  <si>
    <t xml:space="preserve">448 WESTERN SKY CIR </t>
  </si>
  <si>
    <t>131511306017</t>
  </si>
  <si>
    <t xml:space="preserve">444 WESTERN SKY CIR </t>
  </si>
  <si>
    <t>131511306018</t>
  </si>
  <si>
    <t xml:space="preserve">438 WESTERN SKY CIR </t>
  </si>
  <si>
    <t>131511306019</t>
  </si>
  <si>
    <t xml:space="preserve">422 WESTERN SKY CIR </t>
  </si>
  <si>
    <t>131511308010</t>
  </si>
  <si>
    <t xml:space="preserve">76 WESTERN SKY CIR </t>
  </si>
  <si>
    <t>131511308011</t>
  </si>
  <si>
    <t xml:space="preserve">68 WESTERN SKY CIR </t>
  </si>
  <si>
    <t>131511308012</t>
  </si>
  <si>
    <t xml:space="preserve">62 WESTERN SKY CIR </t>
  </si>
  <si>
    <t>131511308013</t>
  </si>
  <si>
    <t xml:space="preserve">56 WESTERN SKY CIR </t>
  </si>
  <si>
    <t>131511308014</t>
  </si>
  <si>
    <t xml:space="preserve">48 WESTERN SKY CIR </t>
  </si>
  <si>
    <t>131511308015</t>
  </si>
  <si>
    <t xml:space="preserve">40 WESTERN SKY CIR </t>
  </si>
  <si>
    <t>131511308016</t>
  </si>
  <si>
    <t xml:space="preserve">32 WESTERN SKY CIR </t>
  </si>
  <si>
    <t>131511308017</t>
  </si>
  <si>
    <t xml:space="preserve">24 WESTERN SKY CIR </t>
  </si>
  <si>
    <t>131511308018</t>
  </si>
  <si>
    <t xml:space="preserve">16 WESTERN SKY CIR </t>
  </si>
  <si>
    <t>131511308019</t>
  </si>
  <si>
    <t xml:space="preserve">8 WESTERN SKY CIR </t>
  </si>
  <si>
    <t>131511308020</t>
  </si>
  <si>
    <t xml:space="preserve">2 WESTERN SKY CIR </t>
  </si>
  <si>
    <t>131501131003</t>
  </si>
  <si>
    <t xml:space="preserve">411 DEERWOOD DR </t>
  </si>
  <si>
    <t>CLARK JANICE &amp; DAVID</t>
  </si>
  <si>
    <t>131501131004</t>
  </si>
  <si>
    <t xml:space="preserve">407 DEERWOOD DR </t>
  </si>
  <si>
    <t>EVANS B CHARLENE</t>
  </si>
  <si>
    <t>131501132005</t>
  </si>
  <si>
    <t xml:space="preserve">714 SUMMER HAWK DR </t>
  </si>
  <si>
    <t>SALOMON BELEM</t>
  </si>
  <si>
    <t>131518313042</t>
  </si>
  <si>
    <t xml:space="preserve">2411 SUMMERLIN LN </t>
  </si>
  <si>
    <t>RYAN MICHAEL G S &amp; PAMELA J P</t>
  </si>
  <si>
    <t>BOGARD MICHAEL D &amp; DIANA L</t>
  </si>
  <si>
    <t>131515134001</t>
  </si>
  <si>
    <t xml:space="preserve">314 PARKSIDE DR </t>
  </si>
  <si>
    <t>APARTMENT</t>
  </si>
  <si>
    <t>MULTI-UNITS(9 +)-LAND</t>
  </si>
  <si>
    <t>120533141025</t>
  </si>
  <si>
    <t xml:space="preserve">1407 MONROE CT </t>
  </si>
  <si>
    <t>LGI HOMES-COLORADO LLC</t>
  </si>
  <si>
    <t>SHAH GRISHMA</t>
  </si>
  <si>
    <t>131515390001</t>
  </si>
  <si>
    <t xml:space="preserve">941 NEON FOREST CIR </t>
  </si>
  <si>
    <t>WALLACE ADDN FLG 4 REP G</t>
  </si>
  <si>
    <t>GEN 3 HOMES LLC</t>
  </si>
  <si>
    <t>RITENOUR THOMAS JAMES II &amp; ANITA RAVENELLE</t>
  </si>
  <si>
    <t>120536175007</t>
  </si>
  <si>
    <t xml:space="preserve">1486 MOONLIGHT DR </t>
  </si>
  <si>
    <t>VONS 11 LLC</t>
  </si>
  <si>
    <t>WILLIAMS THERESA L REV TRST</t>
  </si>
  <si>
    <t>131518307003</t>
  </si>
  <si>
    <t xml:space="preserve">1821 LOMBARDY ST </t>
  </si>
  <si>
    <t>TRAMONTO</t>
  </si>
  <si>
    <t>BOULDER CREEK RENAISSANCE LLC</t>
  </si>
  <si>
    <t>GOTTSCHALL EVE B &amp; GARY R NEPTUNE</t>
  </si>
  <si>
    <t>GOTTSCHALL EVA B &amp; GARY R NEPTUNE</t>
  </si>
  <si>
    <t>131515360009</t>
  </si>
  <si>
    <t xml:space="preserve">844 HALF MEASURES DR </t>
  </si>
  <si>
    <t>MARKEL HOMES CONSTRUCTION COMPANY</t>
  </si>
  <si>
    <t>WILSON ROY J &amp; ELAINE L</t>
  </si>
  <si>
    <t>131518313193</t>
  </si>
  <si>
    <t xml:space="preserve">2029 SICILY CIR </t>
  </si>
  <si>
    <t>SANDER FAMILY TRUST</t>
  </si>
  <si>
    <t xml:space="preserve">0 3RD AVE </t>
  </si>
  <si>
    <t>131518313041</t>
  </si>
  <si>
    <t xml:space="preserve">2417 SUMMERLIN LN </t>
  </si>
  <si>
    <t>SMOOT CHARLES G &amp; JENNIFER A</t>
  </si>
  <si>
    <t>131515357002</t>
  </si>
  <si>
    <t xml:space="preserve">887 NEON FOREST CIR </t>
  </si>
  <si>
    <t>SCHMIDLE STEVEN CRAIG &amp; DEBORAH LEIGH</t>
  </si>
  <si>
    <t>131518307001</t>
  </si>
  <si>
    <t xml:space="preserve">1829 LOMBARDY ST </t>
  </si>
  <si>
    <t>ABBUHL GARY L &amp; LOIS M</t>
  </si>
  <si>
    <t>131501132002</t>
  </si>
  <si>
    <t xml:space="preserve">726 SUMMER HAWK DR </t>
  </si>
  <si>
    <t>131501132003</t>
  </si>
  <si>
    <t xml:space="preserve">722 SUMMER HAWK DR </t>
  </si>
  <si>
    <t>RICHFIELD HOMES</t>
  </si>
  <si>
    <t>131501132004</t>
  </si>
  <si>
    <t xml:space="preserve">718 SUMMER HAWK DR </t>
  </si>
  <si>
    <t>KERONEN KRISTEN R</t>
  </si>
  <si>
    <t>131501135012</t>
  </si>
  <si>
    <t xml:space="preserve">524 SUMMER HAWK DR </t>
  </si>
  <si>
    <t>CROWDER KATHERINE M</t>
  </si>
  <si>
    <t>120533141026</t>
  </si>
  <si>
    <t xml:space="preserve">1411 MONROE CT </t>
  </si>
  <si>
    <t xml:space="preserve">LGI HOMES - COLORADO LLC </t>
  </si>
  <si>
    <t>REGMI BADRI &amp; SUMITRA</t>
  </si>
  <si>
    <t>120525094001</t>
  </si>
  <si>
    <t xml:space="preserve">2242 PROVENANCE CT </t>
  </si>
  <si>
    <t>HAAR DUAYNE &amp; JANNA M</t>
  </si>
  <si>
    <t>131518313190</t>
  </si>
  <si>
    <t xml:space="preserve">2041 SICILY CIR </t>
  </si>
  <si>
    <t>MAKKALA NARENDAR</t>
  </si>
  <si>
    <t>120526244001</t>
  </si>
  <si>
    <t xml:space="preserve">2301 FRENCH CIR </t>
  </si>
  <si>
    <t>PRAIRIE VILLAGE 6</t>
  </si>
  <si>
    <t>MELODY HOMES INC</t>
  </si>
  <si>
    <t>MARCHELLO ROBERT M</t>
  </si>
  <si>
    <t>MARCHELLO ROBERT M &amp; ANA NARNAJO</t>
  </si>
  <si>
    <t>120527404009</t>
  </si>
  <si>
    <t xml:space="preserve">0 EMERY WAY </t>
  </si>
  <si>
    <t>WESTERN MEADOWS 1 - LG</t>
  </si>
  <si>
    <t>BLUTEGEL LLLP</t>
  </si>
  <si>
    <t>26 EMERY WAY LLC</t>
  </si>
  <si>
    <t>120527404003</t>
  </si>
  <si>
    <t xml:space="preserve">337 21ST AVE </t>
  </si>
  <si>
    <t>120526242005</t>
  </si>
  <si>
    <t xml:space="preserve">2425 STEPPE DR </t>
  </si>
  <si>
    <t>PRAIRIE VILLAGE SUB 5 &amp; 6</t>
  </si>
  <si>
    <t>GARCIA JUAN C &amp; MICHAELENA</t>
  </si>
  <si>
    <t>131515360008</t>
  </si>
  <si>
    <t xml:space="preserve">846 HALF MEASURES DR </t>
  </si>
  <si>
    <t>RIDGELINE DEVELOPMENT CORPORATION</t>
  </si>
  <si>
    <t>SANDS LEE</t>
  </si>
  <si>
    <t>120526241021</t>
  </si>
  <si>
    <t xml:space="preserve">0 UTE HWY </t>
  </si>
  <si>
    <t>DHIC PRAIRIE VILLAGE LLC</t>
  </si>
  <si>
    <t>120526243002</t>
  </si>
  <si>
    <t xml:space="preserve">2007 WINDING DR </t>
  </si>
  <si>
    <t>ZORTMAN ROGER &amp; ARLENE G</t>
  </si>
  <si>
    <t>120526245001</t>
  </si>
  <si>
    <t xml:space="preserve">0 UTE RD </t>
  </si>
  <si>
    <t>120526245002</t>
  </si>
  <si>
    <t>MELODY HOMES INC.</t>
  </si>
  <si>
    <t>120525087012</t>
  </si>
  <si>
    <t xml:space="preserve">2303 PROVENANCE ST </t>
  </si>
  <si>
    <t>VAN FLEET CHARLES L &amp; WENDY L</t>
  </si>
  <si>
    <t>131501135010</t>
  </si>
  <si>
    <t xml:space="preserve">516 SUMMER HAWK DR </t>
  </si>
  <si>
    <t>MORRIS LLOYD E</t>
  </si>
  <si>
    <t>131518308002</t>
  </si>
  <si>
    <t xml:space="preserve">1818 LOMBARDY ST </t>
  </si>
  <si>
    <t xml:space="preserve">BOULDER CREEK RENAISSANCE LLC </t>
  </si>
  <si>
    <t>LIPTON PAUL R &amp; MARJORIE</t>
  </si>
  <si>
    <t>131518313040</t>
  </si>
  <si>
    <t xml:space="preserve">2423 SUMMERLIN LN </t>
  </si>
  <si>
    <t>KB HOMES COLORADO INC</t>
  </si>
  <si>
    <t>131518313043</t>
  </si>
  <si>
    <t xml:space="preserve">2401 SUMMERLIN LN </t>
  </si>
  <si>
    <t>GRINDLE WADE &amp; SARAH</t>
  </si>
  <si>
    <t>GRINDLE WADE &amp; SARAH HRUSECKY</t>
  </si>
  <si>
    <t>131518313194</t>
  </si>
  <si>
    <t xml:space="preserve">2025 SICILY CIR </t>
  </si>
  <si>
    <t>DAUGHERTY PAUL J &amp; EMILIE JOHNSON</t>
  </si>
  <si>
    <t>131518313195</t>
  </si>
  <si>
    <t xml:space="preserve">2017 SICILY CIR </t>
  </si>
  <si>
    <t>ERWIN LAMEECE</t>
  </si>
  <si>
    <t>131501147006</t>
  </si>
  <si>
    <t xml:space="preserve">519 DEERWOOD DR </t>
  </si>
  <si>
    <t>131501131002</t>
  </si>
  <si>
    <t xml:space="preserve">415 DEERWOOD DR </t>
  </si>
  <si>
    <t>131512069003</t>
  </si>
  <si>
    <t xml:space="preserve">241 CARTER LN </t>
  </si>
  <si>
    <t>MILL VILLAGE FLG 3 REP G</t>
  </si>
  <si>
    <t>FARNSWORTH KIP</t>
  </si>
  <si>
    <t>MUNSON JAMES B &amp; MELODY</t>
  </si>
  <si>
    <t>120525089002</t>
  </si>
  <si>
    <t xml:space="preserve">2314 PROVENANCE ST </t>
  </si>
  <si>
    <t>BOPARDIKAR CHRISTINE R &amp; RAJU C</t>
  </si>
  <si>
    <t>120525089001</t>
  </si>
  <si>
    <t xml:space="preserve">2318 PROVENANCE ST </t>
  </si>
  <si>
    <t>MONTICELLO MICHAEL A &amp; TONI J</t>
  </si>
  <si>
    <t>131504306001</t>
  </si>
  <si>
    <t>JONES - LG</t>
  </si>
  <si>
    <t>BURLEY LAURENCE EDWIN</t>
  </si>
  <si>
    <t>SHAFFER BOYD G JR</t>
  </si>
  <si>
    <t>SHAFFER BOYD G JR &amp; ELIZABETH A</t>
  </si>
  <si>
    <t>120526242014</t>
  </si>
  <si>
    <t xml:space="preserve">1967 WINDING DR </t>
  </si>
  <si>
    <t>GOSNELL JAMES E &amp; SHELLENE M</t>
  </si>
  <si>
    <t>120533141022</t>
  </si>
  <si>
    <t xml:space="preserve">1412 MONROE CT </t>
  </si>
  <si>
    <t>LGI HOMES LLC</t>
  </si>
  <si>
    <t>FRYMIRE ALLAN D &amp; CATHRYN E PAYNE-FRYMIRE</t>
  </si>
  <si>
    <t>120533141028</t>
  </si>
  <si>
    <t xml:space="preserve">1425 MONROE CT </t>
  </si>
  <si>
    <t>TRUMBO JENNIFER &amp; AARON MICHAEL</t>
  </si>
  <si>
    <t>131515360006</t>
  </si>
  <si>
    <t xml:space="preserve">900 HALF MEASURES DR </t>
  </si>
  <si>
    <t>DEGROODT BRIAN WILLIAM &amp; RONDA PONTILLAS</t>
  </si>
  <si>
    <t>120533141019</t>
  </si>
  <si>
    <t xml:space="preserve">1322 14TH AVE </t>
  </si>
  <si>
    <t>SCHRADER JESSICA</t>
  </si>
  <si>
    <t>120533141027</t>
  </si>
  <si>
    <t xml:space="preserve">1417 MONROE CT </t>
  </si>
  <si>
    <t>STANDER BARBARA D</t>
  </si>
  <si>
    <t>131501147001</t>
  </si>
  <si>
    <t xml:space="preserve">539 DEERWOOD DR </t>
  </si>
  <si>
    <t>131501131001</t>
  </si>
  <si>
    <t xml:space="preserve">419 DEERWOOD DR </t>
  </si>
  <si>
    <t>120526223002</t>
  </si>
  <si>
    <t xml:space="preserve">157 PEPPLER DR </t>
  </si>
  <si>
    <t>PRAIRIE VILLAGE FLG 3</t>
  </si>
  <si>
    <t>BECHARD MICHAEL L</t>
  </si>
  <si>
    <t>131518313035</t>
  </si>
  <si>
    <t xml:space="preserve">2420 SUMMERLIN CT </t>
  </si>
  <si>
    <t>WARNER REVOCABLE TRUST</t>
  </si>
  <si>
    <t>120526242015</t>
  </si>
  <si>
    <t xml:space="preserve">1971 WINDING DR </t>
  </si>
  <si>
    <t>GROFF ROBERT E II &amp; STEPHANIE A HILBIG</t>
  </si>
  <si>
    <t>120533141010</t>
  </si>
  <si>
    <t xml:space="preserve">1378 14TH AVE </t>
  </si>
  <si>
    <t xml:space="preserve">LGI HOMES COLORADO LLC </t>
  </si>
  <si>
    <t>BLAU LAUREN</t>
  </si>
  <si>
    <t>120533141024</t>
  </si>
  <si>
    <t xml:space="preserve">1403 MONROE CT </t>
  </si>
  <si>
    <t>DANGI PADAM B &amp; BALIKA B</t>
  </si>
  <si>
    <t>120525093007</t>
  </si>
  <si>
    <t xml:space="preserve">2245 PROVENANCE CT </t>
  </si>
  <si>
    <t>RODGER NATHAN T &amp; JULIE D</t>
  </si>
  <si>
    <t>120526243001</t>
  </si>
  <si>
    <t xml:space="preserve">2001 WINDING DR </t>
  </si>
  <si>
    <t>MEOLDY HOMES INC</t>
  </si>
  <si>
    <t>YOUNG RODNEY RICHARD &amp; GELIA A</t>
  </si>
  <si>
    <t>120525090018</t>
  </si>
  <si>
    <t xml:space="preserve">2293 SPOTSWOOD ST </t>
  </si>
  <si>
    <t>HOWELL JEFFREY &amp; DEBORAH</t>
  </si>
  <si>
    <t>120525091009</t>
  </si>
  <si>
    <t xml:space="preserve">2320 SPOTSWOOD ST </t>
  </si>
  <si>
    <t>COHRS KEVIN &amp; KRISTINA MARY</t>
  </si>
  <si>
    <t>120525091014</t>
  </si>
  <si>
    <t xml:space="preserve">2294 SPOTSWOOD ST </t>
  </si>
  <si>
    <t>SAWREY DONALD A &amp; LINDA J</t>
  </si>
  <si>
    <t>120533141018</t>
  </si>
  <si>
    <t xml:space="preserve">1328 14TH AVE </t>
  </si>
  <si>
    <t>MORRISSEY MELISSA ET AL</t>
  </si>
  <si>
    <t>120526240006</t>
  </si>
  <si>
    <t xml:space="preserve">487 HOMESTEAD PKWY </t>
  </si>
  <si>
    <t>PRAIRIE VILLAGE 5</t>
  </si>
  <si>
    <t>NORR STEPHEN F</t>
  </si>
  <si>
    <t>120526242017</t>
  </si>
  <si>
    <t xml:space="preserve">1979 WINDING DR </t>
  </si>
  <si>
    <t>131515347001</t>
  </si>
  <si>
    <t xml:space="preserve">702 SATISFACTION CIR </t>
  </si>
  <si>
    <t>WALLACE FAMILY HOLDING COMPANY LLC</t>
  </si>
  <si>
    <t>SAHASA REALTY CORP</t>
  </si>
  <si>
    <t>131515347002</t>
  </si>
  <si>
    <t xml:space="preserve">1914 IONOSPHERE ST </t>
  </si>
  <si>
    <t>131515347003</t>
  </si>
  <si>
    <t xml:space="preserve">1918 IONOSPHERE ST </t>
  </si>
  <si>
    <t>131515347004</t>
  </si>
  <si>
    <t xml:space="preserve">1922 IONOSPHERE ST </t>
  </si>
  <si>
    <t>131515347005</t>
  </si>
  <si>
    <t xml:space="preserve">1926 IONOSPHERE ST </t>
  </si>
  <si>
    <t>131515347006</t>
  </si>
  <si>
    <t xml:space="preserve">1927 IONOSPHERE ST </t>
  </si>
  <si>
    <t>131515347007</t>
  </si>
  <si>
    <t xml:space="preserve">1925 IONOSPHERE ST </t>
  </si>
  <si>
    <t>131515347008</t>
  </si>
  <si>
    <t xml:space="preserve">1923 IONOSPHERE ST </t>
  </si>
  <si>
    <t>131515347009</t>
  </si>
  <si>
    <t xml:space="preserve">1921 IONOSPHERE ST </t>
  </si>
  <si>
    <t>131515347010</t>
  </si>
  <si>
    <t xml:space="preserve">1915 IONOSPHERE ST </t>
  </si>
  <si>
    <t>131515347011</t>
  </si>
  <si>
    <t xml:space="preserve">702 NEON FOREST CIR </t>
  </si>
  <si>
    <t>131515347012</t>
  </si>
  <si>
    <t xml:space="preserve">706 NEON FOREST CIR </t>
  </si>
  <si>
    <t>120533141023</t>
  </si>
  <si>
    <t xml:space="preserve">1406 MONROE CT </t>
  </si>
  <si>
    <t>PRIDDY ROB &amp; JOELLE</t>
  </si>
  <si>
    <t>120525089012</t>
  </si>
  <si>
    <t xml:space="preserve">2217 TYRRHENIAN CIR </t>
  </si>
  <si>
    <t>FORDHAM JACOB &amp; KATE &amp; VAUNALEE</t>
  </si>
  <si>
    <t>120525089014</t>
  </si>
  <si>
    <t xml:space="preserve">2237 TYRRHENIAN CIR </t>
  </si>
  <si>
    <t>CORTEZ ALBERTO &amp; LAURA F</t>
  </si>
  <si>
    <t>120525090011</t>
  </si>
  <si>
    <t xml:space="preserve">2321 SPOTSWOOD ST </t>
  </si>
  <si>
    <t>LENNAR COLORADO INC</t>
  </si>
  <si>
    <t>SHRESTHA BASANTA KUMAR &amp; RENUKA</t>
  </si>
  <si>
    <t>120525090013</t>
  </si>
  <si>
    <t xml:space="preserve">2313 SPOTSWOOD ST </t>
  </si>
  <si>
    <t>SCHORY LEIGH ANNE</t>
  </si>
  <si>
    <t>120525091006</t>
  </si>
  <si>
    <t xml:space="preserve">2342 SPOTSWOOD ST </t>
  </si>
  <si>
    <t>STEELE JOHN L &amp; BARBARA L</t>
  </si>
  <si>
    <t>120525091007</t>
  </si>
  <si>
    <t xml:space="preserve">2336 SPOTSWOOD ST </t>
  </si>
  <si>
    <t>CHIANG KENNY Y</t>
  </si>
  <si>
    <t>120525091008</t>
  </si>
  <si>
    <t xml:space="preserve">2328 SPOTSWOOD ST </t>
  </si>
  <si>
    <t>JASPERS MATHEW AUSTEN &amp; ALAINA WHITNEY JOHNSON</t>
  </si>
  <si>
    <t>120533141008</t>
  </si>
  <si>
    <t xml:space="preserve">1434 GRANT WAY </t>
  </si>
  <si>
    <t>FERRERA GENEVA</t>
  </si>
  <si>
    <t>131515355011</t>
  </si>
  <si>
    <t xml:space="preserve">917 TEMPTED WAYS DR </t>
  </si>
  <si>
    <t>REGAN-SMITH MARTHA GERVING TRUST</t>
  </si>
  <si>
    <t>131508312004</t>
  </si>
  <si>
    <t xml:space="preserve">1000 CREEK CT </t>
  </si>
  <si>
    <t>WILLOW CREEK ESTATES - LG</t>
  </si>
  <si>
    <t>LEGENDS 4 LLC</t>
  </si>
  <si>
    <t>HYINK ANNE M &amp; WILLIAM B PERRY</t>
  </si>
  <si>
    <t>120525089003</t>
  </si>
  <si>
    <t xml:space="preserve">2310 PROVENANCE ST </t>
  </si>
  <si>
    <t>BECKMANN JAMES</t>
  </si>
  <si>
    <t>120525091013</t>
  </si>
  <si>
    <t xml:space="preserve">2298 SPOTSWOOD ST </t>
  </si>
  <si>
    <t>LENAR COLORADO LLC</t>
  </si>
  <si>
    <t>LOSTROH BARRY L</t>
  </si>
  <si>
    <t>120525087007</t>
  </si>
  <si>
    <t xml:space="preserve">2329 PROVENANCE ST </t>
  </si>
  <si>
    <t>NARAGHI HOOSHMAND &amp; SHAHNAZ TEBYANIAN</t>
  </si>
  <si>
    <t>120526242018</t>
  </si>
  <si>
    <t xml:space="preserve">1983 WINDING DR </t>
  </si>
  <si>
    <t>STEVENSON BRENT W</t>
  </si>
  <si>
    <t>120533141006</t>
  </si>
  <si>
    <t xml:space="preserve">1444 GRANT WAY </t>
  </si>
  <si>
    <t>DYER NATHAN R &amp; HEATHER A DREHER</t>
  </si>
  <si>
    <t>120525088008</t>
  </si>
  <si>
    <t xml:space="preserve">2328 PROVENANCE ST </t>
  </si>
  <si>
    <t>ANDERSON HOLLY M &amp; JOHN C</t>
  </si>
  <si>
    <t>120525089013</t>
  </si>
  <si>
    <t xml:space="preserve">2227 TYRRHENIAN CIR </t>
  </si>
  <si>
    <t>ORONA RUSSEL DANIEL &amp; CYNTHIA ANNE</t>
  </si>
  <si>
    <t>120525091004</t>
  </si>
  <si>
    <t xml:space="preserve">2352 SPOTSWOOD ST </t>
  </si>
  <si>
    <t xml:space="preserve">LENNAR COLORADO LLC </t>
  </si>
  <si>
    <t>FOOS MILISA A &amp; SAMUEL E SEVERSON</t>
  </si>
  <si>
    <t>120525094004</t>
  </si>
  <si>
    <t xml:space="preserve">2258 PROVENANCE CT </t>
  </si>
  <si>
    <t>WOLF ANDREW C</t>
  </si>
  <si>
    <t>131518313208</t>
  </si>
  <si>
    <t xml:space="preserve">2255 RENAISSANCE DR </t>
  </si>
  <si>
    <t>LESS THAN 1 AC</t>
  </si>
  <si>
    <t>SANCHEZ MERRI J</t>
  </si>
  <si>
    <t>120525093008</t>
  </si>
  <si>
    <t xml:space="preserve">2239 PROVENANCE CT </t>
  </si>
  <si>
    <t>CHAVIRA ISAAC &amp; ALMA FRANCO</t>
  </si>
  <si>
    <t>120525087010</t>
  </si>
  <si>
    <t xml:space="preserve">2311 PROVENANCE ST </t>
  </si>
  <si>
    <t>ROBICHEAUX AIME &amp; CARL W</t>
  </si>
  <si>
    <t>120525090010</t>
  </si>
  <si>
    <t xml:space="preserve">2325 SPOTSWOOD ST </t>
  </si>
  <si>
    <t>TANCIK FAMILY TRUST</t>
  </si>
  <si>
    <t>120525087011</t>
  </si>
  <si>
    <t xml:space="preserve">2307 PROVENANCE ST </t>
  </si>
  <si>
    <t>LENNAR LLC</t>
  </si>
  <si>
    <t>MASON TIMOTHY RAY &amp; JOO GAIK TAN</t>
  </si>
  <si>
    <t>131502310017</t>
  </si>
  <si>
    <t xml:space="preserve">42 ROGERS RD </t>
  </si>
  <si>
    <t>EAST SIDE - LG</t>
  </si>
  <si>
    <t>DEHERRERA SIMON &amp; HANNAH STRATTON-DEHERRERA</t>
  </si>
  <si>
    <t>Multi Family</t>
  </si>
  <si>
    <t>1</t>
  </si>
  <si>
    <t>Number of Lots in Sale</t>
  </si>
  <si>
    <t>Total</t>
  </si>
  <si>
    <t>Median sq ft.</t>
  </si>
  <si>
    <t>Average cost/sq. ft</t>
  </si>
  <si>
    <t>Median cost/sq.ft</t>
  </si>
  <si>
    <t>Assumptions</t>
  </si>
  <si>
    <t>sq. ft house</t>
  </si>
  <si>
    <t>average affordable lot</t>
  </si>
  <si>
    <t>level of fee waivers</t>
  </si>
  <si>
    <t>Calculation</t>
  </si>
  <si>
    <t>1) Construction costs</t>
  </si>
  <si>
    <t>construction cost/sq. ft</t>
  </si>
  <si>
    <t>average land value/sq.ft</t>
  </si>
  <si>
    <t>3) Building Fees</t>
  </si>
  <si>
    <t>non-waived fees</t>
  </si>
  <si>
    <t>acres</t>
  </si>
  <si>
    <t>value/acre</t>
  </si>
  <si>
    <t>1) Construction cost</t>
  </si>
  <si>
    <t>Single Family Detached Homes</t>
  </si>
  <si>
    <t xml:space="preserve">PIL </t>
  </si>
  <si>
    <t>High Density Apartments</t>
  </si>
  <si>
    <t>sq. ft home</t>
  </si>
  <si>
    <t>fees waivable</t>
  </si>
  <si>
    <t>2) Acquisition cost</t>
  </si>
  <si>
    <t>non-waived</t>
  </si>
  <si>
    <t>PIL</t>
  </si>
  <si>
    <t>1000*121.84</t>
  </si>
  <si>
    <t>800*$108.71</t>
  </si>
  <si>
    <t>Median Sales Price</t>
  </si>
  <si>
    <t>per AC</t>
  </si>
  <si>
    <t xml:space="preserve">3) Building Fees </t>
  </si>
  <si>
    <t>Average Fall River Apts unit size</t>
  </si>
  <si>
    <t xml:space="preserve">non-waived fees </t>
  </si>
  <si>
    <t>per unit to build Fall River</t>
  </si>
  <si>
    <t>sq. ft</t>
  </si>
  <si>
    <t>sq. feet</t>
  </si>
  <si>
    <t>sales price/sq.ft</t>
  </si>
  <si>
    <t>Replacement Cost under Prior Program:</t>
  </si>
  <si>
    <t>For single family unit replacement:</t>
  </si>
  <si>
    <t>Assume the following for purposes of calculating this example:</t>
  </si>
  <si>
    <t>Based on the above,</t>
  </si>
  <si>
    <t>3)</t>
  </si>
  <si>
    <t>Building Fees:</t>
  </si>
  <si>
    <t>Approved Formula:  Add the following:
     1) Building Inspection’s estimated construction cost per square foot (from the Construction Cost Index) by type of unit (single family or multi-family)
     2) Average cost of properly zoned land multiplied by the average affordable lot, for single family, or by the amount of acreage needed to build the number of multi-family units to be replaced
     3) Cost of the non-waiveable fees</t>
  </si>
  <si>
    <t>Construction Cost:</t>
  </si>
  <si>
    <t>2)</t>
  </si>
  <si>
    <r>
      <t>1)</t>
    </r>
    <r>
      <rPr>
        <sz val="7"/>
        <color theme="1"/>
        <rFont val="Calibri"/>
        <family val="2"/>
      </rPr>
      <t xml:space="preserve">                  </t>
    </r>
    <r>
      <rPr>
        <sz val="12"/>
        <color theme="1"/>
        <rFont val="Calibri"/>
        <family val="2"/>
      </rPr>
      <t>1400 square foot house (average size of affordable homes being built)</t>
    </r>
  </si>
  <si>
    <r>
      <t>2)</t>
    </r>
    <r>
      <rPr>
        <sz val="7"/>
        <color theme="1"/>
        <rFont val="Calibri"/>
        <family val="2"/>
      </rPr>
      <t xml:space="preserve">                  </t>
    </r>
    <r>
      <rPr>
        <sz val="12"/>
        <color theme="1"/>
        <rFont val="Calibri"/>
        <family val="2"/>
      </rPr>
      <t>average affordable lot is 5600 square foot</t>
    </r>
  </si>
  <si>
    <r>
      <t>3)</t>
    </r>
    <r>
      <rPr>
        <sz val="7"/>
        <color theme="1"/>
        <rFont val="Calibri"/>
        <family val="2"/>
      </rPr>
      <t xml:space="preserve">                  </t>
    </r>
    <r>
      <rPr>
        <sz val="12"/>
        <color theme="1"/>
        <rFont val="Calibri"/>
        <family val="2"/>
      </rPr>
      <t>fees waivable at 75% level.</t>
    </r>
  </si>
  <si>
    <t>1)</t>
  </si>
  <si>
    <t>Acquisition cost:</t>
  </si>
  <si>
    <t>Non-waived Fees</t>
  </si>
  <si>
    <t>2003 Assumptions:</t>
  </si>
  <si>
    <t>2003 Calculation:</t>
  </si>
  <si>
    <t>2018 Assumptions:</t>
  </si>
  <si>
    <t>Fees waivable at 50% level</t>
  </si>
  <si>
    <t>TOTAL PAYMENT-IN-LIEU PER AH UNIT</t>
  </si>
  <si>
    <t>2 - Average lot size for AH based on proposed Blue Vista and actual Habitat homes</t>
  </si>
  <si>
    <t xml:space="preserve">1 - Average AH built based on proposed Blue Vista and actual Habitat homes </t>
  </si>
  <si>
    <t>3 - Cost is for 2017 Finished Type V Wood Frame home construction - Longmont Building Dept.</t>
  </si>
  <si>
    <t>4)</t>
  </si>
  <si>
    <t>5)</t>
  </si>
  <si>
    <t>6)</t>
  </si>
  <si>
    <r>
      <t xml:space="preserve">1400 SF x $56.96 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/SF</t>
    </r>
  </si>
  <si>
    <t>2 - Average lot size for AH based on AH lots in above developments</t>
  </si>
  <si>
    <r>
      <t>5600 SF x $3.50</t>
    </r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/SF</t>
    </r>
  </si>
  <si>
    <t>4 - Cost was based on 2 most recent large residential land sales at time, divided by total SF</t>
  </si>
  <si>
    <t>1 - Average AH built based on 3 developments building at time</t>
  </si>
  <si>
    <r>
      <t xml:space="preserve">Average affordable lot is 5600 square foot </t>
    </r>
    <r>
      <rPr>
        <vertAlign val="superscript"/>
        <sz val="11"/>
        <color theme="1"/>
        <rFont val="Calibri"/>
        <family val="2"/>
      </rPr>
      <t>2</t>
    </r>
  </si>
  <si>
    <t>Fees waivable at 75%</t>
  </si>
  <si>
    <t>Examples of Application:</t>
  </si>
  <si>
    <t xml:space="preserve">     If Choose PIL:  10 affordable homes x $111,692 = $1,116,920 paid at final Plat approval or</t>
  </si>
  <si>
    <t>100 unit development x 10% = 10 affordable homes to be provided</t>
  </si>
  <si>
    <t>100 unit development x 12% = 12 affordable homes to be provided</t>
  </si>
  <si>
    <t xml:space="preserve">        paid with each building permit pulled ($11,169.20)</t>
  </si>
  <si>
    <t>If Use Square Foot Basis:</t>
  </si>
  <si>
    <t>3 - Cost was for non-sprinklered house with no AC, fireplace or garage - Longmont Bldg Dept.</t>
  </si>
  <si>
    <t>Assumes no difference in size of homes being built</t>
  </si>
  <si>
    <t>increase in costs on SF basis</t>
  </si>
  <si>
    <t>increase in costs of land</t>
  </si>
  <si>
    <t>increase in PIL amount</t>
  </si>
  <si>
    <t>Analysis and Comparison of Payment-In-Lieu Options</t>
  </si>
  <si>
    <t>Replacement Cost under Current Program:</t>
  </si>
  <si>
    <t>Used Same Formula:  Add the following:
     1) Building Inspection’s estimated construction cost per square foot (from the Construction Cost Index) by type of unit (single family or multi-family)
     2) Average cost of properly zoned land multiplied by the average affordable lot, for single family, or by the amount of acreage needed to build the number of multi-family units to be replaced
     3) Cost of the non-waiveable fees</t>
  </si>
  <si>
    <t>2018 Calculation:</t>
  </si>
  <si>
    <t>2017 afforable single family sales price at 80% AMI (3 BR home) is $280,000  (actual is $280,033)</t>
  </si>
  <si>
    <t>Difference/Gap is $190,000</t>
  </si>
  <si>
    <t xml:space="preserve">     If Choose PIL:  12 affordable homes x $190,000 = $2,280,000 paid at final Plat approval or</t>
  </si>
  <si>
    <t xml:space="preserve">        paid with each building permit pulled ($22,800)</t>
  </si>
  <si>
    <t xml:space="preserve">               % of home value based on price point of home:  $386,900 is top price for 3 BR at 100% AMI; PIL = 5.8% of price</t>
  </si>
  <si>
    <t>Gap Approach for Current Program:</t>
  </si>
  <si>
    <t>Subsidy Approach for Current Program:</t>
  </si>
  <si>
    <t>Formula:  
     1) Take the average subsidy provided to affordable home developments for type of home (single family detached or townhome or condo) being built.  
     2) Apply a multiplier to the number of market homes in the development (usually higher than IH determined multiplier if want to discourage PIL).</t>
  </si>
  <si>
    <t>Formula:  
     1) Apply a percentage to the greater of the actual Sales price or Fair Market Value of the market priced homes.</t>
  </si>
  <si>
    <t>Multiplier is 6% (1/2 of IH %)</t>
  </si>
  <si>
    <t>Sales Price Approach for Current Program:</t>
  </si>
  <si>
    <t>Method</t>
  </si>
  <si>
    <t>PIL per SF</t>
  </si>
  <si>
    <t>% of home sale</t>
  </si>
  <si>
    <t>Replacement Cost</t>
  </si>
  <si>
    <t>total/market permit</t>
  </si>
  <si>
    <t>Gap Approach</t>
  </si>
  <si>
    <t xml:space="preserve">         paid at final Plat approval or paid with each building permit pulled ($23,214)</t>
  </si>
  <si>
    <t xml:space="preserve"> of sales price</t>
  </si>
  <si>
    <t>Subsidy Approach</t>
  </si>
  <si>
    <t>Sales Price Approach</t>
  </si>
  <si>
    <t>Avg size of home</t>
  </si>
  <si>
    <t>PIL per Market Home</t>
  </si>
  <si>
    <t>(Method used in prior program)</t>
  </si>
  <si>
    <t>Current subsidy per unit assisted = $50,800</t>
  </si>
  <si>
    <t>Includes direct financing ($44,800), fees waived ($6000)</t>
  </si>
  <si>
    <r>
      <t>1200 SF x $113.85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/SF</t>
    </r>
  </si>
  <si>
    <t>PIL per market Home</t>
  </si>
  <si>
    <t>2682 SF</t>
  </si>
  <si>
    <t>1200 SF</t>
  </si>
  <si>
    <t>total paid per market permit</t>
  </si>
  <si>
    <t>Total for 100 home development (paid at final plat approval)</t>
  </si>
  <si>
    <t>A.  100 unit development x avg. home being built (2682 avg SF based on figures used for Fee Comparison) = 268,200</t>
  </si>
  <si>
    <t>Percent of Home Sale Price</t>
  </si>
  <si>
    <t>1775 SF</t>
  </si>
  <si>
    <t>1 - Average used for Fee Comparision/Analysis</t>
  </si>
  <si>
    <t>2 - Average of 6 current development's smallest homes</t>
  </si>
  <si>
    <r>
      <t xml:space="preserve">2682 SF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</si>
  <si>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1775 SF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</si>
  <si>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1200 SF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</si>
  <si>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Assumes no Difference in home sizes</t>
  </si>
  <si>
    <t>Sales price x 6%</t>
  </si>
  <si>
    <t>3 - Average of proposed Blue Vista affordable and Habitat's current affordable home sizes</t>
  </si>
  <si>
    <t>6% of sales price est. $510,000</t>
  </si>
  <si>
    <t>6% of sales price est. $487,000</t>
  </si>
  <si>
    <t>6% of sales price est. $386,900</t>
  </si>
  <si>
    <t>2682 SF
Est. @ $510,000</t>
  </si>
  <si>
    <t>1775 SF
Est.@ $487,000</t>
  </si>
  <si>
    <t>1200 SF
Est. @ $386,900</t>
  </si>
  <si>
    <t>Total Paid based on SF</t>
  </si>
  <si>
    <t>Paid Per market permit based on SF</t>
  </si>
  <si>
    <r>
      <t xml:space="preserve">Average affordable lot is 2800 square foot </t>
    </r>
    <r>
      <rPr>
        <vertAlign val="superscript"/>
        <sz val="11"/>
        <color theme="1"/>
        <rFont val="Calibri"/>
        <family val="2"/>
      </rPr>
      <t>2</t>
    </r>
  </si>
  <si>
    <t>B.  100 unit development x smaller avg. home being built (1775 avg SF) = 177,500</t>
  </si>
  <si>
    <t>C.  100 unit development with 1200 SF homes = 120,000 SF</t>
  </si>
  <si>
    <t>$190,000/1200 SF (avg AH size) = $158.33/SF</t>
  </si>
  <si>
    <t xml:space="preserve">          268,200 x 12% = 32,184 SF x $158.33 = $5,095,800 paid at final plat or with each permit ($50,958)</t>
  </si>
  <si>
    <t xml:space="preserve">               % of home value based on price point of home:  $510,000 is average price for homes of this size; PIL = 10% of price</t>
  </si>
  <si>
    <t xml:space="preserve">          177,500 x 12% = 21,300 SF x $158.33 = $3,372,500 or with each permit ($33,725)</t>
  </si>
  <si>
    <t xml:space="preserve">               % of home value based on price point of home:  $487,000 is avg price for homes of this size; PIL = 6.9% of price</t>
  </si>
  <si>
    <t xml:space="preserve">          120,000 x 12% = 14,400 x $158.33 = $2,280,000 paid at Final Plat or with each permit ($22,800)</t>
  </si>
  <si>
    <t xml:space="preserve">               % of home value based on price point of home:  $386,900 is top price for 3 BR at 100% AMI; PIL = 5.9% of price</t>
  </si>
  <si>
    <t>Multiplier is 24% (double IH %)</t>
  </si>
  <si>
    <t xml:space="preserve">     If Choose PIL:  100 x 24% = 24 x $50,800 = $1,219,200 paid at final Plat approval or</t>
  </si>
  <si>
    <t xml:space="preserve">        paid with each building permit pulled ($12,192)</t>
  </si>
  <si>
    <t>$50,800/1200 SF (avg AH size) = $42.33/SF</t>
  </si>
  <si>
    <t xml:space="preserve">          268,200 x 2% = 64,368 SF x $42.33 = $2,724,912 paid at final plat or with each permit ($27,249)</t>
  </si>
  <si>
    <t xml:space="preserve">               % of home value based on price point of home:  $510,000 is average price for homes of this size; PIL = 5.3% of price</t>
  </si>
  <si>
    <t xml:space="preserve">          177,500 x 24% = 42,600 SF x $42.33 = $1,803,400 or with each permit ($18,034)</t>
  </si>
  <si>
    <t xml:space="preserve">               % of home value based on price point of home:  $487,000 is avg price for homes of this size; PIL = 3.7% of price</t>
  </si>
  <si>
    <t xml:space="preserve">          120,000 x 24% = 29,280 x $42.33 = $1,219,200 paid at Final Plat or with each permit ($12,192)</t>
  </si>
  <si>
    <t xml:space="preserve">               % of home value based on price point of home:  $386,900 is top price for 3 BR at 100% AMI; PIL = 3.2% of price</t>
  </si>
  <si>
    <t xml:space="preserve">     If Choose PIL:  100 x current sales price (for illustration only based on 2682 sf home) of $510,000 = $51,000,000 x 6% = $3,060,000</t>
  </si>
  <si>
    <t xml:space="preserve">         paid at final Plat approval or paid with each building permit pulled ($30,600)</t>
  </si>
  <si>
    <t xml:space="preserve">     If Choose PIL:  100 x current sales price (for illustration only based on 1775 sf home) of $487,000 = $48,700,000 x 6% = $2,922,000</t>
  </si>
  <si>
    <t xml:space="preserve">         paid at final Plat approval or paid with each building permit pulled ($29,220)</t>
  </si>
  <si>
    <t xml:space="preserve">     If Choose PIL:  100 x current sales price (for illustration only based on 1200 sf home) of $386,900 = $38,690,000 x 6% = $2,321,400</t>
  </si>
  <si>
    <t>Final Plats approved  after 1/30/2018</t>
  </si>
  <si>
    <t>Final Plats approved after 6/26/2018</t>
  </si>
  <si>
    <t>Estimated Affordable Units</t>
  </si>
  <si>
    <t xml:space="preserve">Est. Plats approved after 10/8/2018 </t>
  </si>
  <si>
    <t>Total for 25 home development (paid at final plat approval)</t>
  </si>
  <si>
    <t>1775 SF
20% reduc</t>
  </si>
  <si>
    <t>1200 SF
30% reduc</t>
  </si>
  <si>
    <t>Replacement Cost @ 25 unit development</t>
  </si>
  <si>
    <r>
      <rPr>
        <sz val="11"/>
        <rFont val="Calibri"/>
        <family val="2"/>
      </rPr>
      <t xml:space="preserve">1200 </t>
    </r>
    <r>
      <rPr>
        <sz val="11"/>
        <color theme="1"/>
        <rFont val="Calibri"/>
        <family val="2"/>
      </rPr>
      <t xml:space="preserve">square foot house (average size of affordale homes being built) </t>
    </r>
    <r>
      <rPr>
        <vertAlign val="superscript"/>
        <sz val="11"/>
        <color theme="1"/>
        <rFont val="Calibri"/>
        <family val="2"/>
      </rPr>
      <t>1</t>
    </r>
  </si>
  <si>
    <t xml:space="preserve">Est. Plats approved after 12/26/2018 </t>
  </si>
  <si>
    <t>Estimated Total Units</t>
  </si>
  <si>
    <t>Use $6.00</t>
  </si>
  <si>
    <r>
      <t>3000 SF x $11.42</t>
    </r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/SF</t>
    </r>
  </si>
  <si>
    <t xml:space="preserve">     If Choose PIL:  12 affordable homes x $185,680 = $2,228,160 paid at final Plat approval or</t>
  </si>
  <si>
    <t xml:space="preserve">        paid with each building permit pulled ($22,281)</t>
  </si>
  <si>
    <t>$185,680/1200 SF (avg AH size) = $154.73/SF</t>
  </si>
  <si>
    <t>4 - Cost is based on appraisals for most recent Habitat home sales (2015-2017) - developable lots</t>
  </si>
  <si>
    <t xml:space="preserve">          268,200 x 12% = 32,184 SF x $154.73 = $4,979,937 paid at final plat or with each permit ($49,799)</t>
  </si>
  <si>
    <t xml:space="preserve">               % of home value based on price point of home:  $510,000 is average price for homes of this size; PIL = 9.8% of price</t>
  </si>
  <si>
    <t xml:space="preserve">          177,500 x 12% = 21,300 SF x $154.73 = $3,295,820 or with each permit ($32,958)</t>
  </si>
  <si>
    <t xml:space="preserve">               % of home value based on price point of home:  $487,000 is avg price for homes of this size; PIL = 6.8% of price</t>
  </si>
  <si>
    <t xml:space="preserve">          120,000 x 12% = 14,400 x $154.73 = $2,228,160 paid at Final Plat or with each permit ($22,281)</t>
  </si>
  <si>
    <t>Possible Scaling for smaller sized homes:</t>
  </si>
  <si>
    <t>Possible Scaling for smaller developments:</t>
  </si>
  <si>
    <t>100 + homes</t>
  </si>
  <si>
    <t>50 - 100 homes</t>
  </si>
  <si>
    <t>&lt; 50 homes</t>
  </si>
  <si>
    <t>$49,799.38
$32,958.20
$22,281.60</t>
  </si>
  <si>
    <t>$39,839.50
$26366.56
$17,825.28</t>
  </si>
  <si>
    <t>$34,859.56
$23,070.74
$15,597.12</t>
  </si>
  <si>
    <t>2682 SF
1775 SF
1200 SF</t>
  </si>
  <si>
    <r>
      <t xml:space="preserve">Formula:  
     1) Take the Median or Average Home Price </t>
    </r>
    <r>
      <rPr>
        <b/>
        <sz val="11"/>
        <color rgb="FFFF0000"/>
        <rFont val="Calibri"/>
        <family val="2"/>
        <scheme val="minor"/>
      </rPr>
      <t>for newly constructed homes (last 5 years) for type of home (single family detached or townhome or condo) being built.  Can use data available from LAR or BARA or Title Companies.</t>
    </r>
    <r>
      <rPr>
        <b/>
        <sz val="11"/>
        <color theme="1"/>
        <rFont val="Calibri"/>
        <family val="2"/>
        <scheme val="minor"/>
      </rPr>
      <t xml:space="preserve">
     2) Subtract the IH determined affordable home price (at 80% AMI) for each type of home (typically use affordable 3 BR home price for single family detached and 2 BR home price for townhomes and condos).</t>
    </r>
  </si>
  <si>
    <t xml:space="preserve">  Info in red updated 8/23 to reflect actual numbers used</t>
  </si>
  <si>
    <r>
      <t xml:space="preserve">2017 median sales price </t>
    </r>
    <r>
      <rPr>
        <sz val="11"/>
        <color rgb="FFFF0000"/>
        <rFont val="Calibri"/>
        <family val="2"/>
        <scheme val="minor"/>
      </rPr>
      <t xml:space="preserve">of homes built in last 5 years </t>
    </r>
    <r>
      <rPr>
        <sz val="11"/>
        <color theme="1"/>
        <rFont val="Calibri"/>
        <family val="2"/>
        <scheme val="minor"/>
      </rPr>
      <t>(per LAR data) = $470,000  (actual is $469,111)</t>
    </r>
  </si>
  <si>
    <t>Gap Financina</t>
  </si>
  <si>
    <t>Affordable Home Sale Price 80% AMI</t>
  </si>
  <si>
    <t xml:space="preserve">Median Home Price </t>
  </si>
  <si>
    <t>less than 5 years</t>
  </si>
  <si>
    <t>All Homes (No new Construction)</t>
  </si>
  <si>
    <t>Cost per sq ft</t>
  </si>
  <si>
    <t>Gap</t>
  </si>
  <si>
    <t>Median Home Size</t>
  </si>
  <si>
    <t>Need Median Home size from Sale info</t>
  </si>
  <si>
    <t>New Construction</t>
  </si>
  <si>
    <t>Get data</t>
  </si>
  <si>
    <t>Number of Units</t>
  </si>
  <si>
    <t>Verify</t>
  </si>
  <si>
    <t>Weighted Average</t>
  </si>
  <si>
    <t>B 50 Units</t>
  </si>
  <si>
    <t>C 100 Units</t>
  </si>
  <si>
    <t>A 1 Unit OR 2750 sqft</t>
  </si>
  <si>
    <t>18 month rolling</t>
  </si>
  <si>
    <t>Jan 1 2017 - July 31 2018</t>
  </si>
  <si>
    <t>Condos</t>
  </si>
  <si>
    <t>All years</t>
  </si>
  <si>
    <t>Single Family</t>
  </si>
  <si>
    <t>Average Home Price</t>
  </si>
  <si>
    <t>All Residential</t>
  </si>
  <si>
    <t>Aug 1 2017 - July 31 2018</t>
  </si>
  <si>
    <t>Last 12 months</t>
  </si>
  <si>
    <t>Year to Date</t>
  </si>
  <si>
    <t>Jan 1 2018 - July 31 2018</t>
  </si>
  <si>
    <t>12% AMI</t>
  </si>
  <si>
    <t>YTD</t>
  </si>
  <si>
    <t>August 1 2017 - July 31 2018</t>
  </si>
  <si>
    <t>Last 12 Months</t>
  </si>
  <si>
    <t>18 Month Rolling</t>
  </si>
  <si>
    <t>All Years</t>
  </si>
  <si>
    <t>2012 &amp; Newer</t>
  </si>
  <si>
    <t>Single Family Detached</t>
  </si>
  <si>
    <t>Cost/Sq ft</t>
  </si>
  <si>
    <t>sq.ft</t>
  </si>
  <si>
    <t xml:space="preserve"> </t>
  </si>
  <si>
    <t>Home Sales for all Years Built</t>
  </si>
  <si>
    <t>18 month rolling Sales Period</t>
  </si>
  <si>
    <t>Year to Date Sales Period</t>
  </si>
  <si>
    <t>Last 12 months Sales Period</t>
  </si>
  <si>
    <t>Homes sold that were built in 2012 and newer</t>
  </si>
  <si>
    <t>1200*$113.85</t>
  </si>
  <si>
    <t>2800*$11.47</t>
  </si>
  <si>
    <t>average land cost/sq. ft</t>
  </si>
  <si>
    <t xml:space="preserve">Average AH built based on proposed Blue Vista and actual Habitat homes </t>
  </si>
  <si>
    <t>Average lot size for AH based on proposed Blue Vista and actual Habitat homes</t>
  </si>
  <si>
    <t>Cost is for 2017 Finished Type V Wood Frame home construction - Longmont Building Dept.</t>
  </si>
  <si>
    <t>Cost is based on appraisals for most recent Habitat home sales (2015-2017) - developable lots</t>
  </si>
  <si>
    <t>2) Land Acquisition cost</t>
  </si>
  <si>
    <t>2017 Finished Type V-Wood Frame/AC/Sprinkled - Longmont Building Dept.</t>
  </si>
  <si>
    <t>Townhomes &amp; Condos</t>
  </si>
  <si>
    <t>average land cost/acre</t>
  </si>
  <si>
    <t>Cost based on Assessors records for multi-family zoned land sales, past 18 months</t>
  </si>
  <si>
    <t>Townhome &amp; Condo</t>
  </si>
  <si>
    <t>$15.30/SF bsed on avg of The Suites and Royal land appraisals</t>
  </si>
  <si>
    <t>average land value/acre</t>
  </si>
  <si>
    <t>Weighted Average - All Residential</t>
  </si>
  <si>
    <t>acre = 6-18/units @ medium density</t>
  </si>
  <si>
    <t>$102,378 per AC/18 units</t>
  </si>
  <si>
    <t>acre= 18-35 units @ high density</t>
  </si>
  <si>
    <t>$666,400 per AC/35</t>
  </si>
  <si>
    <t>2017 Finished Type VA/Non AC/Non Sprinkled - Longmont Building Dept.</t>
  </si>
  <si>
    <t>Homes sold that were built in 2003 and newer</t>
  </si>
  <si>
    <t>2003 &amp; Newer</t>
  </si>
  <si>
    <t>Land Title Guarantee Company has provided this information. Their source is the Boulder County Clerk &amp; Recorder's Office. This data includes Realtor and FSBO home sales as well as new home sales directly from the Home Builder/Developer or their agents.
Caveats from Land Title: Data may be incomplete or inaccurate due to a variety of factors including: inaccurate square footage provided by the Builder or homeowner, unreported basement completions, and square footage of porches and garages inadvertently reported as part of house square footage.</t>
  </si>
  <si>
    <t>based on Mixed Neighborhood under Envision Longmont</t>
  </si>
  <si>
    <t>Based on HfH's Poplar Grove Townhomes</t>
  </si>
  <si>
    <t>Based on fees for HfH single family detached home</t>
  </si>
  <si>
    <t>Based on Multifamily Neighborhood Zoning in Envision Longmont</t>
  </si>
  <si>
    <t>Based on fees for Fall River</t>
  </si>
  <si>
    <t>Replacement Cost Approach</t>
  </si>
  <si>
    <t>All PIL added together</t>
  </si>
  <si>
    <t>Average of above</t>
  </si>
  <si>
    <t>Average of all SF used above</t>
  </si>
  <si>
    <t>total sq foot</t>
  </si>
  <si>
    <t>total per sq foot</t>
  </si>
  <si>
    <t>@ 12%</t>
  </si>
  <si>
    <t>Average of all Sq Ft from above</t>
  </si>
  <si>
    <t>Average for All Residential</t>
  </si>
  <si>
    <t>Replacement Cost Factors</t>
  </si>
  <si>
    <t>Impacts on Builder Margins</t>
  </si>
  <si>
    <t>Assumed cost to Build</t>
  </si>
  <si>
    <t>Average Sales Price</t>
  </si>
  <si>
    <t xml:space="preserve">Cost to Build - Builders and LEDP </t>
  </si>
  <si>
    <t>Cost to Build - EPS Data</t>
  </si>
  <si>
    <t>Monthly Income</t>
  </si>
  <si>
    <t>PITI</t>
  </si>
  <si>
    <t>Loan Amount</t>
  </si>
  <si>
    <t>Sales Price</t>
  </si>
  <si>
    <t>80% AMI (80%)</t>
  </si>
  <si>
    <t>80% AMI (70%)</t>
  </si>
  <si>
    <t>80% AMI (50%)</t>
  </si>
  <si>
    <t>2.5 persons (3 BR)</t>
  </si>
  <si>
    <t>2018 AMI</t>
  </si>
  <si>
    <t>Interest Rate</t>
  </si>
  <si>
    <t>4.07+0.5=</t>
  </si>
  <si>
    <t xml:space="preserve">Housing Payment </t>
  </si>
  <si>
    <t>of gross income</t>
  </si>
  <si>
    <t>Principal and Interest</t>
  </si>
  <si>
    <t xml:space="preserve">Downpayment </t>
  </si>
  <si>
    <t>Townhome</t>
  </si>
  <si>
    <t>Condo</t>
  </si>
  <si>
    <t>% of Gross Income for Housing Payment</t>
  </si>
  <si>
    <t>Impact to Margin</t>
  </si>
  <si>
    <t>Age of Homes</t>
  </si>
  <si>
    <t>Sales Timeframe</t>
  </si>
  <si>
    <t>Scaled Fee</t>
  </si>
  <si>
    <t>First 1000 Square Feet</t>
  </si>
  <si>
    <t>1000 to 2000 square feet</t>
  </si>
  <si>
    <t>Above 2000 square feet</t>
  </si>
  <si>
    <t>Home Size</t>
  </si>
  <si>
    <t>Calculated Fee</t>
  </si>
  <si>
    <t>Average per square foot</t>
  </si>
  <si>
    <t>12 Months Sales Period</t>
  </si>
  <si>
    <t>Building Costs ($113.81/SF -from COL BI) based on median SF from choice above</t>
  </si>
  <si>
    <t xml:space="preserve">   $125/SF hard costs tied to SF choice above</t>
  </si>
  <si>
    <t>Affordable Sales Prices</t>
  </si>
  <si>
    <t>Other Considerations</t>
  </si>
  <si>
    <t>HOA Fees</t>
  </si>
  <si>
    <t>Utilities</t>
  </si>
  <si>
    <t>$200 - $400/mo</t>
  </si>
  <si>
    <r>
      <rPr>
        <sz val="11"/>
        <color theme="0"/>
        <rFont val="Calibri"/>
        <family val="2"/>
        <scheme val="minor"/>
      </rPr>
      <t xml:space="preserve">Affordable Home Sale Price 80% AMI </t>
    </r>
    <r>
      <rPr>
        <i/>
        <sz val="9"/>
        <color theme="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</si>
  <si>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Sliding Scale PIL Fee by Square Footage of Home Being Built</t>
  </si>
  <si>
    <t>Target Payment in Lieu</t>
  </si>
  <si>
    <t>Summary of Fees Calculated by the Gap Method</t>
  </si>
  <si>
    <t>Summary of Home Square Feet from Assessor's Sales Data</t>
  </si>
  <si>
    <t>$100 - $400/mo</t>
  </si>
  <si>
    <t>Longmont Average $180; add Xcel</t>
  </si>
  <si>
    <t>Scaled</t>
  </si>
  <si>
    <t>Unscaled</t>
  </si>
  <si>
    <t>Difference</t>
  </si>
  <si>
    <t>*other 9% is for taxes &amp; insurance</t>
  </si>
  <si>
    <t>Maximum Monthly Housing Payment</t>
  </si>
  <si>
    <t>80% AMI</t>
  </si>
  <si>
    <t xml:space="preserve">Down Payment </t>
  </si>
  <si>
    <t>120% AMI</t>
  </si>
  <si>
    <t>100% AMI</t>
  </si>
  <si>
    <t>2.5 persons</t>
  </si>
  <si>
    <t>HOA</t>
  </si>
  <si>
    <t>Effective Percent of Gross Income</t>
  </si>
  <si>
    <t>Total Housing Cost including Utilities</t>
  </si>
  <si>
    <t>$220/mo</t>
  </si>
  <si>
    <t>Longmont average bill $180; Xcel $40</t>
  </si>
  <si>
    <t>All costs shown as $/sqft payment-in-lieu</t>
  </si>
  <si>
    <t xml:space="preserve">   Fees above what EPS had estimated in Soft Costs (~ $27,000) to equal "Permit Fees" document</t>
  </si>
  <si>
    <t xml:space="preserve">   $435,600/AC divided by 6 homes/AC</t>
  </si>
  <si>
    <t>Estimated Profit</t>
  </si>
  <si>
    <t>Costs offset by:</t>
  </si>
  <si>
    <t>6 month reduction in Entitlement process</t>
  </si>
  <si>
    <t>Move collection of fees to CO</t>
  </si>
  <si>
    <t>Total offset per house</t>
  </si>
  <si>
    <t>Infrastructure (@$1K/liner ft frontage - from "LEDP 10 Points")</t>
  </si>
  <si>
    <t>Soft Costs @22% (per EPS)</t>
  </si>
  <si>
    <t xml:space="preserve">   @22% soft costs (incl arch/eng, development fees, entitlement costs, financing, legal, contingency, msc.)</t>
  </si>
  <si>
    <t>Estimated Fees from Developer ("Timing of Permit Fees" document) less $27,000 already estimated in Soft Costs</t>
  </si>
  <si>
    <t>Raw Land (from "LEDP 10 Points" = $20K/home - seems low so used $32,000 from Replacement Cost Calculations)</t>
  </si>
  <si>
    <t>Landscape &amp; other code requirements reduced by 5%</t>
  </si>
  <si>
    <t>Assumed Profit</t>
  </si>
  <si>
    <t>Updated Profit after PIL</t>
  </si>
  <si>
    <t>Payment-in-lieu</t>
  </si>
  <si>
    <t>Net impact</t>
  </si>
  <si>
    <t>Cost Offsets (below)</t>
  </si>
  <si>
    <t>Affordable Sales Price</t>
  </si>
  <si>
    <t>Estimated Margin</t>
  </si>
  <si>
    <t xml:space="preserve">   Profit per home after PIL</t>
  </si>
  <si>
    <t>Increased density provided by Envision (for Single Family every home above 6/AC)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</si>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</sst>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%"/>
    <numFmt numFmtId="167" formatCode="_(* #,##0_);_(* \(#,##0\);_(* &quot;-&quot;??_);_(@_)"/>
    <numFmt numFmtId="168" formatCode="_(&quot;$&quot;* #,##0_);_(&quot;$&quot;* \(#,##0\);_(&quot;$&quot;* &quot;-&quot;??_);_(@_)"/>
    <numFmt numFmtId="169" formatCode="0.000%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7"/>
      <color theme="1"/>
      <name val="Calibri"/>
      <family val="2"/>
    </font>
    <font>
      <u/>
      <sz val="12"/>
      <color theme="1"/>
      <name val="Calibri"/>
      <family val="2"/>
    </font>
    <font>
      <b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hair">
        <color theme="0"/>
      </right>
      <top style="medium">
        <color theme="0"/>
      </top>
      <bottom/>
      <diagonal/>
    </border>
    <border>
      <left style="hair">
        <color theme="0"/>
      </left>
      <right style="hair">
        <color theme="0"/>
      </right>
      <top style="medium">
        <color theme="0"/>
      </top>
      <bottom/>
      <diagonal/>
    </border>
    <border>
      <left style="hair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hair">
        <color theme="0"/>
      </right>
      <top/>
      <bottom style="medium">
        <color theme="0"/>
      </bottom>
      <diagonal/>
    </border>
    <border>
      <left style="hair">
        <color theme="0"/>
      </left>
      <right style="hair">
        <color theme="0"/>
      </right>
      <top/>
      <bottom style="medium">
        <color theme="0"/>
      </bottom>
      <diagonal/>
    </border>
    <border>
      <left style="hair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double">
        <color rgb="FFFF8001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0" fillId="11" borderId="40" applyNumberFormat="0" applyAlignment="0" applyProtection="0"/>
    <xf numFmtId="0" fontId="31" fillId="0" borderId="41" applyNumberFormat="0" applyFill="0" applyAlignment="0" applyProtection="0"/>
  </cellStyleXfs>
  <cellXfs count="481">
    <xf numFmtId="0" fontId="0" fillId="0" borderId="0" xfId="0"/>
    <xf numFmtId="0" fontId="0" fillId="0" borderId="0" xfId="0" applyFill="1" applyBorder="1" applyAlignment="1"/>
    <xf numFmtId="49" fontId="0" fillId="0" borderId="0" xfId="0" applyNumberFormat="1" applyFill="1" applyBorder="1" applyAlignment="1"/>
    <xf numFmtId="14" fontId="0" fillId="0" borderId="0" xfId="0" applyNumberFormat="1" applyFill="1" applyBorder="1" applyAlignment="1"/>
    <xf numFmtId="6" fontId="0" fillId="0" borderId="0" xfId="0" applyNumberFormat="1" applyFill="1" applyBorder="1" applyAlignment="1"/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49" fontId="1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wrapText="1"/>
    </xf>
    <xf numFmtId="49" fontId="0" fillId="0" borderId="0" xfId="0" applyNumberFormat="1" applyFill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3" fontId="0" fillId="0" borderId="0" xfId="0" applyNumberFormat="1" applyFill="1" applyBorder="1" applyAlignment="1">
      <alignment wrapText="1"/>
    </xf>
    <xf numFmtId="6" fontId="0" fillId="0" borderId="0" xfId="0" applyNumberFormat="1" applyFill="1" applyBorder="1" applyAlignment="1">
      <alignment wrapText="1"/>
    </xf>
    <xf numFmtId="49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Border="1" applyAlignment="1"/>
    <xf numFmtId="8" fontId="0" fillId="0" borderId="0" xfId="0" applyNumberFormat="1" applyAlignment="1">
      <alignment wrapText="1"/>
    </xf>
    <xf numFmtId="1" fontId="0" fillId="0" borderId="0" xfId="0" applyNumberFormat="1" applyFill="1" applyBorder="1" applyAlignment="1"/>
    <xf numFmtId="8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Border="1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indent="5"/>
    </xf>
    <xf numFmtId="0" fontId="7" fillId="0" borderId="0" xfId="0" applyFont="1"/>
    <xf numFmtId="0" fontId="8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1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8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indent="5"/>
    </xf>
    <xf numFmtId="6" fontId="11" fillId="0" borderId="0" xfId="0" applyNumberFormat="1" applyFont="1" applyAlignment="1">
      <alignment horizontal="left" vertical="center" indent="5"/>
    </xf>
    <xf numFmtId="165" fontId="7" fillId="0" borderId="0" xfId="0" applyNumberFormat="1" applyFont="1"/>
    <xf numFmtId="0" fontId="7" fillId="0" borderId="0" xfId="0" applyFont="1" applyAlignment="1">
      <alignment horizontal="left" vertical="center" indent="8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8" fontId="7" fillId="0" borderId="0" xfId="0" applyNumberFormat="1" applyFont="1" applyAlignment="1">
      <alignment vertical="center"/>
    </xf>
    <xf numFmtId="165" fontId="7" fillId="0" borderId="0" xfId="1" applyNumberFormat="1" applyFont="1"/>
    <xf numFmtId="0" fontId="7" fillId="0" borderId="0" xfId="0" applyFont="1" applyAlignment="1">
      <alignment horizontal="center"/>
    </xf>
    <xf numFmtId="165" fontId="13" fillId="0" borderId="0" xfId="0" applyNumberFormat="1" applyFont="1"/>
    <xf numFmtId="0" fontId="14" fillId="0" borderId="0" xfId="0" applyFont="1"/>
    <xf numFmtId="0" fontId="7" fillId="0" borderId="0" xfId="0" applyFont="1" applyAlignment="1">
      <alignment horizontal="left"/>
    </xf>
    <xf numFmtId="0" fontId="16" fillId="0" borderId="0" xfId="3" applyFont="1" applyAlignment="1">
      <alignment vertical="center"/>
    </xf>
    <xf numFmtId="10" fontId="15" fillId="0" borderId="0" xfId="0" applyNumberFormat="1" applyFont="1"/>
    <xf numFmtId="10" fontId="15" fillId="0" borderId="0" xfId="2" applyNumberFormat="1" applyFont="1"/>
    <xf numFmtId="0" fontId="15" fillId="0" borderId="0" xfId="0" applyFont="1"/>
    <xf numFmtId="9" fontId="15" fillId="0" borderId="0" xfId="2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0" fillId="0" borderId="13" xfId="0" applyBorder="1"/>
    <xf numFmtId="0" fontId="6" fillId="0" borderId="13" xfId="0" applyFont="1" applyBorder="1" applyAlignment="1">
      <alignment horizontal="left" vertical="center" indent="5"/>
    </xf>
    <xf numFmtId="0" fontId="8" fillId="0" borderId="13" xfId="0" applyFont="1" applyBorder="1" applyAlignment="1">
      <alignment horizontal="left" vertical="center" indent="5"/>
    </xf>
    <xf numFmtId="0" fontId="8" fillId="0" borderId="13" xfId="0" applyFont="1" applyBorder="1" applyAlignment="1">
      <alignment horizontal="left" vertical="center" indent="10"/>
    </xf>
    <xf numFmtId="0" fontId="7" fillId="0" borderId="13" xfId="0" applyFont="1" applyBorder="1" applyAlignment="1">
      <alignment horizontal="left" vertical="center" indent="8"/>
    </xf>
    <xf numFmtId="0" fontId="8" fillId="0" borderId="13" xfId="0" applyFont="1" applyBorder="1" applyAlignment="1">
      <alignment vertical="center"/>
    </xf>
    <xf numFmtId="0" fontId="11" fillId="0" borderId="13" xfId="0" applyFont="1" applyBorder="1" applyAlignment="1">
      <alignment horizontal="left" vertical="center" indent="5"/>
    </xf>
    <xf numFmtId="0" fontId="7" fillId="0" borderId="13" xfId="0" applyFont="1" applyBorder="1"/>
    <xf numFmtId="0" fontId="20" fillId="0" borderId="13" xfId="0" applyFont="1" applyBorder="1"/>
    <xf numFmtId="0" fontId="0" fillId="0" borderId="13" xfId="0" applyBorder="1" applyAlignment="1">
      <alignment horizontal="center"/>
    </xf>
    <xf numFmtId="0" fontId="20" fillId="0" borderId="0" xfId="0" applyFont="1" applyFill="1"/>
    <xf numFmtId="0" fontId="18" fillId="6" borderId="13" xfId="0" applyFont="1" applyFill="1" applyBorder="1"/>
    <xf numFmtId="0" fontId="19" fillId="6" borderId="0" xfId="0" applyFont="1" applyFill="1"/>
    <xf numFmtId="0" fontId="18" fillId="7" borderId="13" xfId="0" applyFont="1" applyFill="1" applyBorder="1"/>
    <xf numFmtId="164" fontId="0" fillId="0" borderId="0" xfId="0" applyNumberFormat="1"/>
    <xf numFmtId="0" fontId="0" fillId="0" borderId="0" xfId="0" applyAlignment="1">
      <alignment horizontal="right"/>
    </xf>
    <xf numFmtId="166" fontId="0" fillId="0" borderId="0" xfId="2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left"/>
    </xf>
    <xf numFmtId="0" fontId="7" fillId="0" borderId="0" xfId="0" applyFont="1" applyFill="1"/>
    <xf numFmtId="165" fontId="13" fillId="0" borderId="0" xfId="0" applyNumberFormat="1" applyFont="1" applyFill="1"/>
    <xf numFmtId="0" fontId="5" fillId="0" borderId="0" xfId="0" applyFont="1" applyFill="1"/>
    <xf numFmtId="9" fontId="0" fillId="0" borderId="0" xfId="2" applyFont="1"/>
    <xf numFmtId="166" fontId="0" fillId="0" borderId="0" xfId="0" applyNumberFormat="1"/>
    <xf numFmtId="0" fontId="0" fillId="0" borderId="17" xfId="0" applyBorder="1"/>
    <xf numFmtId="164" fontId="0" fillId="0" borderId="17" xfId="0" applyNumberFormat="1" applyBorder="1"/>
    <xf numFmtId="9" fontId="0" fillId="0" borderId="17" xfId="2" applyFont="1" applyBorder="1"/>
    <xf numFmtId="0" fontId="0" fillId="8" borderId="17" xfId="0" applyFill="1" applyBorder="1"/>
    <xf numFmtId="164" fontId="0" fillId="8" borderId="17" xfId="0" applyNumberFormat="1" applyFill="1" applyBorder="1"/>
    <xf numFmtId="166" fontId="0" fillId="8" borderId="17" xfId="2" applyNumberFormat="1" applyFont="1" applyFill="1" applyBorder="1"/>
    <xf numFmtId="9" fontId="0" fillId="8" borderId="17" xfId="2" applyFont="1" applyFill="1" applyBorder="1"/>
    <xf numFmtId="0" fontId="0" fillId="0" borderId="17" xfId="0" applyFill="1" applyBorder="1"/>
    <xf numFmtId="0" fontId="0" fillId="0" borderId="18" xfId="0" applyFill="1" applyBorder="1"/>
    <xf numFmtId="164" fontId="0" fillId="8" borderId="19" xfId="0" applyNumberFormat="1" applyFill="1" applyBorder="1"/>
    <xf numFmtId="0" fontId="0" fillId="0" borderId="19" xfId="0" applyBorder="1"/>
    <xf numFmtId="0" fontId="0" fillId="8" borderId="19" xfId="0" applyFill="1" applyBorder="1"/>
    <xf numFmtId="164" fontId="0" fillId="8" borderId="20" xfId="0" applyNumberFormat="1" applyFill="1" applyBorder="1"/>
    <xf numFmtId="164" fontId="0" fillId="8" borderId="21" xfId="0" applyNumberFormat="1" applyFill="1" applyBorder="1"/>
    <xf numFmtId="0" fontId="0" fillId="0" borderId="20" xfId="0" applyBorder="1"/>
    <xf numFmtId="0" fontId="0" fillId="0" borderId="21" xfId="0" applyBorder="1"/>
    <xf numFmtId="0" fontId="0" fillId="8" borderId="20" xfId="0" applyFill="1" applyBorder="1"/>
    <xf numFmtId="0" fontId="0" fillId="8" borderId="21" xfId="0" applyFill="1" applyBorder="1"/>
    <xf numFmtId="164" fontId="0" fillId="8" borderId="18" xfId="0" applyNumberFormat="1" applyFill="1" applyBorder="1"/>
    <xf numFmtId="0" fontId="0" fillId="0" borderId="18" xfId="0" applyBorder="1"/>
    <xf numFmtId="0" fontId="0" fillId="8" borderId="18" xfId="0" applyFill="1" applyBorder="1"/>
    <xf numFmtId="166" fontId="0" fillId="8" borderId="20" xfId="2" applyNumberFormat="1" applyFont="1" applyFill="1" applyBorder="1"/>
    <xf numFmtId="166" fontId="0" fillId="8" borderId="21" xfId="2" applyNumberFormat="1" applyFont="1" applyFill="1" applyBorder="1"/>
    <xf numFmtId="9" fontId="0" fillId="0" borderId="20" xfId="2" applyFont="1" applyBorder="1"/>
    <xf numFmtId="9" fontId="0" fillId="0" borderId="21" xfId="2" applyFont="1" applyBorder="1"/>
    <xf numFmtId="9" fontId="0" fillId="8" borderId="20" xfId="2" applyFont="1" applyFill="1" applyBorder="1"/>
    <xf numFmtId="9" fontId="0" fillId="8" borderId="21" xfId="2" applyFont="1" applyFill="1" applyBorder="1"/>
    <xf numFmtId="0" fontId="1" fillId="0" borderId="2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wrapText="1"/>
    </xf>
    <xf numFmtId="164" fontId="1" fillId="0" borderId="15" xfId="0" applyNumberFormat="1" applyFont="1" applyBorder="1" applyAlignment="1">
      <alignment horizontal="center" wrapText="1"/>
    </xf>
    <xf numFmtId="164" fontId="1" fillId="0" borderId="26" xfId="0" applyNumberFormat="1" applyFont="1" applyBorder="1" applyAlignment="1">
      <alignment horizontal="center" wrapText="1"/>
    </xf>
    <xf numFmtId="164" fontId="1" fillId="0" borderId="14" xfId="0" applyNumberFormat="1" applyFont="1" applyBorder="1" applyAlignment="1">
      <alignment horizontal="center" wrapText="1"/>
    </xf>
    <xf numFmtId="164" fontId="1" fillId="0" borderId="29" xfId="0" applyNumberFormat="1" applyFont="1" applyBorder="1" applyAlignment="1">
      <alignment horizontal="center" wrapText="1"/>
    </xf>
    <xf numFmtId="164" fontId="0" fillId="0" borderId="31" xfId="0" applyNumberFormat="1" applyBorder="1"/>
    <xf numFmtId="164" fontId="1" fillId="0" borderId="30" xfId="0" applyNumberFormat="1" applyFont="1" applyBorder="1" applyAlignment="1">
      <alignment horizontal="center" wrapText="1"/>
    </xf>
    <xf numFmtId="164" fontId="1" fillId="0" borderId="30" xfId="0" applyNumberFormat="1" applyFont="1" applyBorder="1" applyAlignment="1">
      <alignment horizontal="center"/>
    </xf>
    <xf numFmtId="0" fontId="0" fillId="0" borderId="32" xfId="0" applyBorder="1"/>
    <xf numFmtId="0" fontId="1" fillId="0" borderId="33" xfId="0" applyFont="1" applyBorder="1"/>
    <xf numFmtId="0" fontId="1" fillId="8" borderId="20" xfId="0" applyFont="1" applyFill="1" applyBorder="1"/>
    <xf numFmtId="0" fontId="1" fillId="0" borderId="20" xfId="0" applyFont="1" applyBorder="1"/>
    <xf numFmtId="0" fontId="18" fillId="6" borderId="0" xfId="0" applyFont="1" applyFill="1"/>
    <xf numFmtId="0" fontId="0" fillId="7" borderId="0" xfId="0" applyFill="1" applyBorder="1"/>
    <xf numFmtId="0" fontId="18" fillId="4" borderId="0" xfId="0" applyFont="1" applyFill="1" applyBorder="1"/>
    <xf numFmtId="0" fontId="0" fillId="4" borderId="0" xfId="0" applyFill="1" applyBorder="1"/>
    <xf numFmtId="0" fontId="18" fillId="5" borderId="0" xfId="0" applyFont="1" applyFill="1" applyBorder="1"/>
    <xf numFmtId="0" fontId="0" fillId="5" borderId="0" xfId="0" applyFill="1" applyBorder="1"/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1" fillId="6" borderId="20" xfId="0" applyFont="1" applyFill="1" applyBorder="1"/>
    <xf numFmtId="164" fontId="0" fillId="6" borderId="17" xfId="0" applyNumberFormat="1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164" fontId="0" fillId="6" borderId="19" xfId="0" applyNumberFormat="1" applyFill="1" applyBorder="1"/>
    <xf numFmtId="164" fontId="0" fillId="6" borderId="18" xfId="0" applyNumberFormat="1" applyFill="1" applyBorder="1"/>
    <xf numFmtId="166" fontId="0" fillId="6" borderId="20" xfId="2" applyNumberFormat="1" applyFont="1" applyFill="1" applyBorder="1"/>
    <xf numFmtId="166" fontId="0" fillId="6" borderId="17" xfId="2" applyNumberFormat="1" applyFont="1" applyFill="1" applyBorder="1"/>
    <xf numFmtId="166" fontId="0" fillId="6" borderId="21" xfId="2" applyNumberFormat="1" applyFont="1" applyFill="1" applyBorder="1"/>
    <xf numFmtId="0" fontId="1" fillId="0" borderId="20" xfId="0" applyFont="1" applyFill="1" applyBorder="1"/>
    <xf numFmtId="164" fontId="0" fillId="0" borderId="17" xfId="0" applyNumberFormat="1" applyFill="1" applyBorder="1"/>
    <xf numFmtId="0" fontId="0" fillId="0" borderId="20" xfId="0" applyFill="1" applyBorder="1"/>
    <xf numFmtId="0" fontId="0" fillId="0" borderId="21" xfId="0" applyFill="1" applyBorder="1"/>
    <xf numFmtId="164" fontId="0" fillId="0" borderId="19" xfId="0" applyNumberFormat="1" applyFill="1" applyBorder="1"/>
    <xf numFmtId="9" fontId="0" fillId="0" borderId="20" xfId="2" applyFont="1" applyFill="1" applyBorder="1"/>
    <xf numFmtId="9" fontId="0" fillId="0" borderId="17" xfId="2" applyFont="1" applyFill="1" applyBorder="1"/>
    <xf numFmtId="9" fontId="0" fillId="0" borderId="21" xfId="2" applyFont="1" applyFill="1" applyBorder="1"/>
    <xf numFmtId="0" fontId="0" fillId="0" borderId="19" xfId="0" applyFill="1" applyBorder="1"/>
    <xf numFmtId="0" fontId="1" fillId="6" borderId="20" xfId="0" applyFont="1" applyFill="1" applyBorder="1" applyAlignment="1">
      <alignment wrapText="1"/>
    </xf>
    <xf numFmtId="164" fontId="0" fillId="0" borderId="19" xfId="0" applyNumberFormat="1" applyBorder="1"/>
    <xf numFmtId="164" fontId="0" fillId="0" borderId="20" xfId="0" applyNumberFormat="1" applyFill="1" applyBorder="1"/>
    <xf numFmtId="164" fontId="0" fillId="0" borderId="21" xfId="0" applyNumberFormat="1" applyFill="1" applyBorder="1"/>
    <xf numFmtId="164" fontId="0" fillId="0" borderId="18" xfId="0" applyNumberFormat="1" applyFill="1" applyBorder="1"/>
    <xf numFmtId="166" fontId="0" fillId="0" borderId="20" xfId="2" applyNumberFormat="1" applyFont="1" applyFill="1" applyBorder="1"/>
    <xf numFmtId="166" fontId="0" fillId="0" borderId="17" xfId="2" applyNumberFormat="1" applyFont="1" applyFill="1" applyBorder="1"/>
    <xf numFmtId="166" fontId="0" fillId="0" borderId="21" xfId="2" applyNumberFormat="1" applyFont="1" applyFill="1" applyBorder="1"/>
    <xf numFmtId="4" fontId="0" fillId="0" borderId="0" xfId="0" applyNumberFormat="1" applyAlignment="1">
      <alignment wrapText="1"/>
    </xf>
    <xf numFmtId="6" fontId="0" fillId="0" borderId="0" xfId="0" applyNumberFormat="1"/>
    <xf numFmtId="164" fontId="0" fillId="6" borderId="17" xfId="0" applyNumberFormat="1" applyFill="1" applyBorder="1" applyAlignment="1">
      <alignment horizontal="right" wrapText="1"/>
    </xf>
    <xf numFmtId="164" fontId="0" fillId="6" borderId="18" xfId="0" applyNumberForma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center" wrapText="1"/>
    </xf>
    <xf numFmtId="166" fontId="0" fillId="0" borderId="0" xfId="2" applyNumberFormat="1" applyFont="1" applyFill="1" applyBorder="1"/>
    <xf numFmtId="9" fontId="0" fillId="0" borderId="0" xfId="2" applyFont="1" applyFill="1" applyBorder="1"/>
    <xf numFmtId="0" fontId="1" fillId="0" borderId="0" xfId="0" applyFont="1" applyFill="1" applyBorder="1" applyAlignment="1"/>
    <xf numFmtId="166" fontId="0" fillId="6" borderId="20" xfId="2" applyNumberFormat="1" applyFont="1" applyFill="1" applyBorder="1" applyAlignment="1">
      <alignment horizontal="right" wrapText="1"/>
    </xf>
    <xf numFmtId="9" fontId="0" fillId="0" borderId="20" xfId="2" applyFont="1" applyBorder="1" applyAlignment="1">
      <alignment horizontal="right"/>
    </xf>
    <xf numFmtId="166" fontId="0" fillId="6" borderId="20" xfId="2" applyNumberFormat="1" applyFont="1" applyFill="1" applyBorder="1" applyAlignment="1">
      <alignment horizontal="right"/>
    </xf>
    <xf numFmtId="164" fontId="0" fillId="6" borderId="20" xfId="0" applyNumberFormat="1" applyFill="1" applyBorder="1" applyAlignment="1">
      <alignment horizontal="right" wrapText="1"/>
    </xf>
    <xf numFmtId="164" fontId="0" fillId="0" borderId="20" xfId="0" applyNumberFormat="1" applyBorder="1"/>
    <xf numFmtId="0" fontId="1" fillId="0" borderId="19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7" fillId="9" borderId="0" xfId="0" applyFont="1" applyFill="1"/>
    <xf numFmtId="0" fontId="0" fillId="9" borderId="0" xfId="0" applyFill="1"/>
    <xf numFmtId="0" fontId="0" fillId="0" borderId="0" xfId="0" applyAlignment="1">
      <alignment horizontal="center"/>
    </xf>
    <xf numFmtId="3" fontId="0" fillId="0" borderId="0" xfId="0" applyNumberFormat="1"/>
    <xf numFmtId="2" fontId="0" fillId="0" borderId="0" xfId="0" applyNumberFormat="1"/>
    <xf numFmtId="3" fontId="0" fillId="2" borderId="0" xfId="0" applyNumberFormat="1" applyFill="1"/>
    <xf numFmtId="3" fontId="0" fillId="9" borderId="0" xfId="0" applyNumberFormat="1" applyFill="1"/>
    <xf numFmtId="2" fontId="0" fillId="0" borderId="0" xfId="0" applyNumberFormat="1" applyFill="1"/>
    <xf numFmtId="3" fontId="0" fillId="0" borderId="0" xfId="0" applyNumberFormat="1" applyFill="1"/>
    <xf numFmtId="43" fontId="0" fillId="0" borderId="0" xfId="4" applyFont="1"/>
    <xf numFmtId="0" fontId="0" fillId="0" borderId="0" xfId="0" applyFill="1" applyAlignment="1">
      <alignment horizontal="center"/>
    </xf>
    <xf numFmtId="43" fontId="0" fillId="0" borderId="0" xfId="0" applyNumberFormat="1"/>
    <xf numFmtId="0" fontId="0" fillId="10" borderId="0" xfId="0" applyFill="1"/>
    <xf numFmtId="0" fontId="1" fillId="10" borderId="0" xfId="0" applyFont="1" applyFill="1"/>
    <xf numFmtId="168" fontId="0" fillId="10" borderId="0" xfId="0" applyNumberFormat="1" applyFill="1"/>
    <xf numFmtId="168" fontId="0" fillId="8" borderId="2" xfId="1" applyNumberFormat="1" applyFont="1" applyFill="1" applyBorder="1"/>
    <xf numFmtId="168" fontId="0" fillId="8" borderId="5" xfId="1" applyNumberFormat="1" applyFont="1" applyFill="1" applyBorder="1"/>
    <xf numFmtId="167" fontId="0" fillId="8" borderId="5" xfId="4" applyNumberFormat="1" applyFont="1" applyFill="1" applyBorder="1"/>
    <xf numFmtId="168" fontId="0" fillId="8" borderId="7" xfId="1" applyNumberFormat="1" applyFont="1" applyFill="1" applyBorder="1"/>
    <xf numFmtId="168" fontId="0" fillId="8" borderId="37" xfId="1" applyNumberFormat="1" applyFont="1" applyFill="1" applyBorder="1"/>
    <xf numFmtId="168" fontId="0" fillId="8" borderId="38" xfId="1" applyNumberFormat="1" applyFont="1" applyFill="1" applyBorder="1"/>
    <xf numFmtId="167" fontId="0" fillId="8" borderId="38" xfId="4" applyNumberFormat="1" applyFont="1" applyFill="1" applyBorder="1"/>
    <xf numFmtId="168" fontId="0" fillId="8" borderId="39" xfId="1" applyNumberFormat="1" applyFont="1" applyFill="1" applyBorder="1"/>
    <xf numFmtId="167" fontId="0" fillId="8" borderId="10" xfId="4" applyNumberFormat="1" applyFont="1" applyFill="1" applyBorder="1"/>
    <xf numFmtId="167" fontId="0" fillId="8" borderId="36" xfId="4" applyNumberFormat="1" applyFont="1" applyFill="1" applyBorder="1"/>
    <xf numFmtId="0" fontId="0" fillId="10" borderId="0" xfId="0" applyFill="1" applyAlignment="1">
      <alignment horizontal="right"/>
    </xf>
    <xf numFmtId="9" fontId="0" fillId="10" borderId="0" xfId="0" applyNumberFormat="1" applyFill="1" applyAlignment="1">
      <alignment horizontal="right"/>
    </xf>
    <xf numFmtId="44" fontId="0" fillId="10" borderId="10" xfId="1" applyFont="1" applyFill="1" applyBorder="1"/>
    <xf numFmtId="44" fontId="0" fillId="10" borderId="12" xfId="1" applyFont="1" applyFill="1" applyBorder="1"/>
    <xf numFmtId="168" fontId="0" fillId="10" borderId="36" xfId="0" applyNumberFormat="1" applyFill="1" applyBorder="1"/>
    <xf numFmtId="44" fontId="0" fillId="10" borderId="36" xfId="0" applyNumberFormat="1" applyFill="1" applyBorder="1"/>
    <xf numFmtId="0" fontId="0" fillId="10" borderId="39" xfId="0" applyFill="1" applyBorder="1"/>
    <xf numFmtId="0" fontId="0" fillId="10" borderId="10" xfId="0" applyFill="1" applyBorder="1"/>
    <xf numFmtId="0" fontId="1" fillId="10" borderId="12" xfId="0" applyFont="1" applyFill="1" applyBorder="1"/>
    <xf numFmtId="0" fontId="0" fillId="10" borderId="11" xfId="0" applyFill="1" applyBorder="1"/>
    <xf numFmtId="0" fontId="0" fillId="10" borderId="0" xfId="0" applyFill="1" applyBorder="1"/>
    <xf numFmtId="44" fontId="1" fillId="10" borderId="36" xfId="1" applyFont="1" applyFill="1" applyBorder="1"/>
    <xf numFmtId="44" fontId="1" fillId="10" borderId="36" xfId="0" applyNumberFormat="1" applyFont="1" applyFill="1" applyBorder="1"/>
    <xf numFmtId="0" fontId="1" fillId="10" borderId="0" xfId="0" applyFont="1" applyFill="1" applyAlignment="1">
      <alignment horizontal="right"/>
    </xf>
    <xf numFmtId="44" fontId="0" fillId="10" borderId="36" xfId="1" applyFont="1" applyFill="1" applyBorder="1"/>
    <xf numFmtId="168" fontId="0" fillId="8" borderId="4" xfId="1" applyNumberFormat="1" applyFont="1" applyFill="1" applyBorder="1"/>
    <xf numFmtId="168" fontId="0" fillId="8" borderId="6" xfId="1" applyNumberFormat="1" applyFont="1" applyFill="1" applyBorder="1"/>
    <xf numFmtId="167" fontId="0" fillId="8" borderId="6" xfId="4" applyNumberFormat="1" applyFont="1" applyFill="1" applyBorder="1"/>
    <xf numFmtId="168" fontId="0" fillId="8" borderId="9" xfId="1" applyNumberFormat="1" applyFont="1" applyFill="1" applyBorder="1"/>
    <xf numFmtId="168" fontId="0" fillId="10" borderId="10" xfId="0" applyNumberFormat="1" applyFill="1" applyBorder="1"/>
    <xf numFmtId="168" fontId="0" fillId="10" borderId="12" xfId="0" applyNumberFormat="1" applyFill="1" applyBorder="1"/>
    <xf numFmtId="167" fontId="0" fillId="8" borderId="12" xfId="4" applyNumberFormat="1" applyFont="1" applyFill="1" applyBorder="1"/>
    <xf numFmtId="44" fontId="0" fillId="10" borderId="10" xfId="0" applyNumberFormat="1" applyFill="1" applyBorder="1"/>
    <xf numFmtId="44" fontId="0" fillId="10" borderId="12" xfId="0" applyNumberFormat="1" applyFill="1" applyBorder="1"/>
    <xf numFmtId="0" fontId="27" fillId="13" borderId="12" xfId="0" applyFont="1" applyFill="1" applyBorder="1"/>
    <xf numFmtId="0" fontId="16" fillId="13" borderId="0" xfId="0" applyFont="1" applyFill="1" applyBorder="1"/>
    <xf numFmtId="0" fontId="33" fillId="13" borderId="0" xfId="0" applyFont="1" applyFill="1"/>
    <xf numFmtId="0" fontId="34" fillId="13" borderId="0" xfId="0" applyFont="1" applyFill="1"/>
    <xf numFmtId="0" fontId="33" fillId="13" borderId="11" xfId="0" applyFont="1" applyFill="1" applyBorder="1"/>
    <xf numFmtId="0" fontId="33" fillId="13" borderId="12" xfId="0" applyFont="1" applyFill="1" applyBorder="1"/>
    <xf numFmtId="0" fontId="33" fillId="13" borderId="0" xfId="0" applyFont="1" applyFill="1" applyBorder="1"/>
    <xf numFmtId="0" fontId="32" fillId="13" borderId="0" xfId="0" applyFont="1" applyFill="1"/>
    <xf numFmtId="0" fontId="33" fillId="13" borderId="0" xfId="0" applyFont="1" applyFill="1" applyAlignment="1">
      <alignment horizontal="right"/>
    </xf>
    <xf numFmtId="0" fontId="34" fillId="13" borderId="0" xfId="0" quotePrefix="1" applyFont="1" applyFill="1"/>
    <xf numFmtId="0" fontId="35" fillId="13" borderId="0" xfId="0" applyFont="1" applyFill="1" applyAlignment="1">
      <alignment horizontal="right" wrapText="1"/>
    </xf>
    <xf numFmtId="0" fontId="35" fillId="13" borderId="0" xfId="0" applyFont="1" applyFill="1" applyAlignment="1">
      <alignment horizontal="right"/>
    </xf>
    <xf numFmtId="168" fontId="33" fillId="13" borderId="0" xfId="0" applyNumberFormat="1" applyFont="1" applyFill="1"/>
    <xf numFmtId="0" fontId="32" fillId="13" borderId="0" xfId="0" applyFont="1" applyFill="1" applyAlignment="1">
      <alignment horizontal="right"/>
    </xf>
    <xf numFmtId="9" fontId="33" fillId="13" borderId="0" xfId="0" applyNumberFormat="1" applyFont="1" applyFill="1" applyAlignment="1">
      <alignment horizontal="right"/>
    </xf>
    <xf numFmtId="167" fontId="33" fillId="13" borderId="45" xfId="4" applyNumberFormat="1" applyFont="1" applyFill="1" applyBorder="1"/>
    <xf numFmtId="167" fontId="33" fillId="13" borderId="46" xfId="4" applyNumberFormat="1" applyFont="1" applyFill="1" applyBorder="1"/>
    <xf numFmtId="168" fontId="33" fillId="13" borderId="52" xfId="0" applyNumberFormat="1" applyFont="1" applyFill="1" applyBorder="1"/>
    <xf numFmtId="168" fontId="33" fillId="13" borderId="53" xfId="0" applyNumberFormat="1" applyFont="1" applyFill="1" applyBorder="1"/>
    <xf numFmtId="168" fontId="33" fillId="13" borderId="42" xfId="0" applyNumberFormat="1" applyFont="1" applyFill="1" applyBorder="1"/>
    <xf numFmtId="44" fontId="33" fillId="13" borderId="42" xfId="1" applyFont="1" applyFill="1" applyBorder="1"/>
    <xf numFmtId="44" fontId="33" fillId="13" borderId="42" xfId="0" applyNumberFormat="1" applyFont="1" applyFill="1" applyBorder="1"/>
    <xf numFmtId="44" fontId="33" fillId="13" borderId="52" xfId="1" applyFont="1" applyFill="1" applyBorder="1"/>
    <xf numFmtId="44" fontId="33" fillId="13" borderId="53" xfId="1" applyFont="1" applyFill="1" applyBorder="1"/>
    <xf numFmtId="44" fontId="32" fillId="13" borderId="42" xfId="1" applyFont="1" applyFill="1" applyBorder="1"/>
    <xf numFmtId="44" fontId="33" fillId="13" borderId="52" xfId="0" applyNumberFormat="1" applyFont="1" applyFill="1" applyBorder="1"/>
    <xf numFmtId="44" fontId="33" fillId="13" borderId="53" xfId="0" applyNumberFormat="1" applyFont="1" applyFill="1" applyBorder="1"/>
    <xf numFmtId="0" fontId="32" fillId="13" borderId="54" xfId="0" applyFont="1" applyFill="1" applyBorder="1"/>
    <xf numFmtId="0" fontId="32" fillId="13" borderId="51" xfId="0" applyFont="1" applyFill="1" applyBorder="1"/>
    <xf numFmtId="0" fontId="32" fillId="13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168" fontId="33" fillId="15" borderId="43" xfId="1" applyNumberFormat="1" applyFont="1" applyFill="1" applyBorder="1"/>
    <xf numFmtId="168" fontId="33" fillId="15" borderId="44" xfId="1" applyNumberFormat="1" applyFont="1" applyFill="1" applyBorder="1"/>
    <xf numFmtId="168" fontId="33" fillId="15" borderId="45" xfId="1" applyNumberFormat="1" applyFont="1" applyFill="1" applyBorder="1"/>
    <xf numFmtId="168" fontId="33" fillId="15" borderId="46" xfId="1" applyNumberFormat="1" applyFont="1" applyFill="1" applyBorder="1"/>
    <xf numFmtId="167" fontId="33" fillId="15" borderId="45" xfId="4" applyNumberFormat="1" applyFont="1" applyFill="1" applyBorder="1"/>
    <xf numFmtId="167" fontId="33" fillId="15" borderId="46" xfId="4" applyNumberFormat="1" applyFont="1" applyFill="1" applyBorder="1"/>
    <xf numFmtId="168" fontId="33" fillId="15" borderId="47" xfId="1" applyNumberFormat="1" applyFont="1" applyFill="1" applyBorder="1"/>
    <xf numFmtId="168" fontId="33" fillId="15" borderId="48" xfId="1" applyNumberFormat="1" applyFont="1" applyFill="1" applyBorder="1"/>
    <xf numFmtId="168" fontId="33" fillId="15" borderId="49" xfId="1" applyNumberFormat="1" applyFont="1" applyFill="1" applyBorder="1"/>
    <xf numFmtId="168" fontId="33" fillId="15" borderId="50" xfId="1" applyNumberFormat="1" applyFont="1" applyFill="1" applyBorder="1"/>
    <xf numFmtId="167" fontId="33" fillId="15" borderId="50" xfId="4" applyNumberFormat="1" applyFont="1" applyFill="1" applyBorder="1"/>
    <xf numFmtId="168" fontId="33" fillId="15" borderId="51" xfId="1" applyNumberFormat="1" applyFont="1" applyFill="1" applyBorder="1"/>
    <xf numFmtId="167" fontId="33" fillId="15" borderId="52" xfId="4" applyNumberFormat="1" applyFont="1" applyFill="1" applyBorder="1"/>
    <xf numFmtId="167" fontId="33" fillId="15" borderId="53" xfId="4" applyNumberFormat="1" applyFont="1" applyFill="1" applyBorder="1"/>
    <xf numFmtId="167" fontId="33" fillId="15" borderId="42" xfId="4" applyNumberFormat="1" applyFont="1" applyFill="1" applyBorder="1"/>
    <xf numFmtId="44" fontId="32" fillId="17" borderId="42" xfId="0" applyNumberFormat="1" applyFont="1" applyFill="1" applyBorder="1"/>
    <xf numFmtId="0" fontId="33" fillId="13" borderId="5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7" fillId="13" borderId="0" xfId="0" applyFont="1" applyFill="1" applyBorder="1" applyAlignment="1">
      <alignment horizontal="center"/>
    </xf>
    <xf numFmtId="0" fontId="38" fillId="13" borderId="5" xfId="0" applyFont="1" applyFill="1" applyBorder="1" applyAlignment="1">
      <alignment horizontal="center"/>
    </xf>
    <xf numFmtId="0" fontId="32" fillId="13" borderId="0" xfId="0" applyFont="1" applyFill="1" applyBorder="1" applyAlignment="1">
      <alignment horizontal="center"/>
    </xf>
    <xf numFmtId="169" fontId="33" fillId="13" borderId="0" xfId="0" applyNumberFormat="1" applyFont="1" applyFill="1" applyBorder="1" applyAlignment="1">
      <alignment horizontal="left"/>
    </xf>
    <xf numFmtId="10" fontId="33" fillId="13" borderId="0" xfId="0" applyNumberFormat="1" applyFont="1" applyFill="1" applyBorder="1" applyAlignment="1">
      <alignment horizontal="center"/>
    </xf>
    <xf numFmtId="165" fontId="33" fillId="13" borderId="0" xfId="0" applyNumberFormat="1" applyFont="1" applyFill="1" applyBorder="1"/>
    <xf numFmtId="164" fontId="33" fillId="13" borderId="0" xfId="0" applyNumberFormat="1" applyFont="1" applyFill="1" applyBorder="1"/>
    <xf numFmtId="169" fontId="33" fillId="13" borderId="0" xfId="0" applyNumberFormat="1" applyFont="1" applyFill="1" applyBorder="1" applyAlignment="1">
      <alignment horizontal="center"/>
    </xf>
    <xf numFmtId="9" fontId="38" fillId="13" borderId="0" xfId="0" applyNumberFormat="1" applyFont="1" applyFill="1"/>
    <xf numFmtId="0" fontId="37" fillId="13" borderId="0" xfId="0" applyFont="1" applyFill="1" applyAlignment="1">
      <alignment horizontal="center"/>
    </xf>
    <xf numFmtId="9" fontId="33" fillId="13" borderId="0" xfId="0" applyNumberFormat="1" applyFont="1" applyFill="1"/>
    <xf numFmtId="0" fontId="40" fillId="13" borderId="0" xfId="0" applyFont="1" applyFill="1"/>
    <xf numFmtId="0" fontId="39" fillId="12" borderId="5" xfId="0" applyFont="1" applyFill="1" applyBorder="1"/>
    <xf numFmtId="165" fontId="33" fillId="12" borderId="0" xfId="0" applyNumberFormat="1" applyFont="1" applyFill="1" applyBorder="1"/>
    <xf numFmtId="164" fontId="33" fillId="12" borderId="0" xfId="0" applyNumberFormat="1" applyFont="1" applyFill="1" applyBorder="1"/>
    <xf numFmtId="0" fontId="39" fillId="16" borderId="5" xfId="0" applyFont="1" applyFill="1" applyBorder="1"/>
    <xf numFmtId="165" fontId="33" fillId="16" borderId="0" xfId="0" applyNumberFormat="1" applyFont="1" applyFill="1" applyBorder="1"/>
    <xf numFmtId="164" fontId="33" fillId="16" borderId="0" xfId="0" applyNumberFormat="1" applyFont="1" applyFill="1" applyBorder="1"/>
    <xf numFmtId="0" fontId="39" fillId="17" borderId="5" xfId="0" applyFont="1" applyFill="1" applyBorder="1"/>
    <xf numFmtId="165" fontId="33" fillId="17" borderId="0" xfId="0" applyNumberFormat="1" applyFont="1" applyFill="1" applyBorder="1"/>
    <xf numFmtId="164" fontId="33" fillId="17" borderId="0" xfId="0" applyNumberFormat="1" applyFont="1" applyFill="1" applyBorder="1"/>
    <xf numFmtId="10" fontId="33" fillId="13" borderId="44" xfId="0" quotePrefix="1" applyNumberFormat="1" applyFont="1" applyFill="1" applyBorder="1" applyAlignment="1">
      <alignment horizontal="center"/>
    </xf>
    <xf numFmtId="166" fontId="33" fillId="13" borderId="45" xfId="0" applyNumberFormat="1" applyFont="1" applyFill="1" applyBorder="1"/>
    <xf numFmtId="9" fontId="33" fillId="13" borderId="46" xfId="0" applyNumberFormat="1" applyFont="1" applyFill="1" applyBorder="1"/>
    <xf numFmtId="44" fontId="33" fillId="13" borderId="41" xfId="6" applyNumberFormat="1" applyFont="1" applyFill="1"/>
    <xf numFmtId="44" fontId="33" fillId="13" borderId="0" xfId="0" applyNumberFormat="1" applyFont="1" applyFill="1"/>
    <xf numFmtId="168" fontId="33" fillId="13" borderId="0" xfId="1" applyNumberFormat="1" applyFont="1" applyFill="1"/>
    <xf numFmtId="0" fontId="33" fillId="13" borderId="0" xfId="0" applyFont="1" applyFill="1" applyAlignment="1"/>
    <xf numFmtId="44" fontId="33" fillId="13" borderId="49" xfId="0" applyNumberFormat="1" applyFont="1" applyFill="1" applyBorder="1"/>
    <xf numFmtId="44" fontId="33" fillId="13" borderId="50" xfId="0" applyNumberFormat="1" applyFont="1" applyFill="1" applyBorder="1"/>
    <xf numFmtId="44" fontId="33" fillId="13" borderId="51" xfId="0" applyNumberFormat="1" applyFont="1" applyFill="1" applyBorder="1"/>
    <xf numFmtId="9" fontId="33" fillId="12" borderId="0" xfId="0" applyNumberFormat="1" applyFont="1" applyFill="1"/>
    <xf numFmtId="0" fontId="32" fillId="13" borderId="0" xfId="0" applyFont="1" applyFill="1" applyAlignment="1">
      <alignment wrapText="1"/>
    </xf>
    <xf numFmtId="0" fontId="33" fillId="13" borderId="0" xfId="0" applyFont="1" applyFill="1" applyAlignment="1">
      <alignment horizontal="center" wrapText="1"/>
    </xf>
    <xf numFmtId="165" fontId="33" fillId="13" borderId="0" xfId="0" applyNumberFormat="1" applyFont="1" applyFill="1"/>
    <xf numFmtId="0" fontId="33" fillId="13" borderId="0" xfId="0" applyFont="1" applyFill="1" applyAlignment="1">
      <alignment horizontal="left" wrapText="1"/>
    </xf>
    <xf numFmtId="0" fontId="33" fillId="13" borderId="0" xfId="0" applyFont="1" applyFill="1" applyAlignment="1">
      <alignment horizontal="left" vertical="center"/>
    </xf>
    <xf numFmtId="165" fontId="41" fillId="13" borderId="0" xfId="0" applyNumberFormat="1" applyFont="1" applyFill="1"/>
    <xf numFmtId="9" fontId="33" fillId="12" borderId="40" xfId="5" applyNumberFormat="1" applyFont="1" applyFill="1"/>
    <xf numFmtId="0" fontId="32" fillId="13" borderId="0" xfId="0" applyFont="1" applyFill="1" applyBorder="1"/>
    <xf numFmtId="44" fontId="33" fillId="13" borderId="0" xfId="6" applyNumberFormat="1" applyFont="1" applyFill="1" applyBorder="1"/>
    <xf numFmtId="44" fontId="33" fillId="13" borderId="0" xfId="0" applyNumberFormat="1" applyFont="1" applyFill="1" applyBorder="1"/>
    <xf numFmtId="167" fontId="33" fillId="12" borderId="42" xfId="4" applyNumberFormat="1" applyFont="1" applyFill="1" applyBorder="1"/>
    <xf numFmtId="164" fontId="33" fillId="13" borderId="45" xfId="0" applyNumberFormat="1" applyFont="1" applyFill="1" applyBorder="1"/>
    <xf numFmtId="164" fontId="33" fillId="13" borderId="56" xfId="0" applyNumberFormat="1" applyFont="1" applyFill="1" applyBorder="1"/>
    <xf numFmtId="0" fontId="36" fillId="13" borderId="0" xfId="0" applyFont="1" applyFill="1" applyAlignment="1">
      <alignment horizontal="center"/>
    </xf>
    <xf numFmtId="167" fontId="16" fillId="13" borderId="0" xfId="0" applyNumberFormat="1" applyFont="1" applyFill="1"/>
    <xf numFmtId="167" fontId="33" fillId="13" borderId="43" xfId="4" applyNumberFormat="1" applyFont="1" applyFill="1" applyBorder="1"/>
    <xf numFmtId="167" fontId="33" fillId="13" borderId="55" xfId="4" applyNumberFormat="1" applyFont="1" applyFill="1" applyBorder="1"/>
    <xf numFmtId="167" fontId="33" fillId="13" borderId="44" xfId="4" applyNumberFormat="1" applyFont="1" applyFill="1" applyBorder="1"/>
    <xf numFmtId="167" fontId="33" fillId="13" borderId="0" xfId="4" applyNumberFormat="1" applyFont="1" applyFill="1" applyBorder="1"/>
    <xf numFmtId="167" fontId="33" fillId="13" borderId="47" xfId="4" applyNumberFormat="1" applyFont="1" applyFill="1" applyBorder="1"/>
    <xf numFmtId="167" fontId="33" fillId="13" borderId="56" xfId="4" applyNumberFormat="1" applyFont="1" applyFill="1" applyBorder="1"/>
    <xf numFmtId="167" fontId="33" fillId="13" borderId="48" xfId="4" applyNumberFormat="1" applyFont="1" applyFill="1" applyBorder="1"/>
    <xf numFmtId="167" fontId="33" fillId="13" borderId="41" xfId="4" applyNumberFormat="1" applyFont="1" applyFill="1" applyBorder="1"/>
    <xf numFmtId="44" fontId="33" fillId="13" borderId="0" xfId="1" applyFont="1" applyFill="1"/>
    <xf numFmtId="166" fontId="33" fillId="13" borderId="0" xfId="2" applyNumberFormat="1" applyFont="1" applyFill="1"/>
    <xf numFmtId="0" fontId="33" fillId="13" borderId="13" xfId="0" applyFont="1" applyFill="1" applyBorder="1"/>
    <xf numFmtId="44" fontId="33" fillId="12" borderId="40" xfId="5" applyNumberFormat="1" applyFont="1" applyFill="1"/>
    <xf numFmtId="0" fontId="32" fillId="16" borderId="0" xfId="0" applyFont="1" applyFill="1"/>
    <xf numFmtId="0" fontId="33" fillId="16" borderId="0" xfId="0" applyFont="1" applyFill="1" applyAlignment="1">
      <alignment wrapText="1"/>
    </xf>
    <xf numFmtId="0" fontId="33" fillId="13" borderId="57" xfId="0" applyFont="1" applyFill="1" applyBorder="1"/>
    <xf numFmtId="0" fontId="33" fillId="13" borderId="60" xfId="0" applyFont="1" applyFill="1" applyBorder="1"/>
    <xf numFmtId="164" fontId="33" fillId="13" borderId="61" xfId="0" applyNumberFormat="1" applyFont="1" applyFill="1" applyBorder="1" applyAlignment="1">
      <alignment horizontal="center"/>
    </xf>
    <xf numFmtId="164" fontId="33" fillId="13" borderId="62" xfId="0" applyNumberFormat="1" applyFont="1" applyFill="1" applyBorder="1" applyAlignment="1">
      <alignment horizontal="center"/>
    </xf>
    <xf numFmtId="0" fontId="36" fillId="13" borderId="0" xfId="0" applyFont="1" applyFill="1"/>
    <xf numFmtId="0" fontId="33" fillId="13" borderId="3" xfId="0" applyFont="1" applyFill="1" applyBorder="1"/>
    <xf numFmtId="0" fontId="34" fillId="13" borderId="0" xfId="0" applyFont="1" applyFill="1" applyBorder="1"/>
    <xf numFmtId="0" fontId="33" fillId="13" borderId="0" xfId="0" applyFont="1" applyFill="1" applyBorder="1" applyAlignment="1">
      <alignment vertical="top"/>
    </xf>
    <xf numFmtId="165" fontId="33" fillId="13" borderId="0" xfId="0" applyNumberFormat="1" applyFont="1" applyFill="1" applyBorder="1" applyAlignment="1">
      <alignment vertical="top"/>
    </xf>
    <xf numFmtId="165" fontId="32" fillId="13" borderId="0" xfId="0" applyNumberFormat="1" applyFont="1" applyFill="1" applyBorder="1"/>
    <xf numFmtId="0" fontId="33" fillId="13" borderId="7" xfId="0" applyFont="1" applyFill="1" applyBorder="1"/>
    <xf numFmtId="0" fontId="33" fillId="13" borderId="8" xfId="0" applyFont="1" applyFill="1" applyBorder="1"/>
    <xf numFmtId="0" fontId="33" fillId="13" borderId="9" xfId="0" applyFont="1" applyFill="1" applyBorder="1"/>
    <xf numFmtId="0" fontId="40" fillId="13" borderId="0" xfId="0" applyFont="1" applyFill="1" applyBorder="1"/>
    <xf numFmtId="8" fontId="33" fillId="13" borderId="0" xfId="0" applyNumberFormat="1" applyFont="1" applyFill="1" applyBorder="1"/>
    <xf numFmtId="164" fontId="33" fillId="13" borderId="0" xfId="0" applyNumberFormat="1" applyFont="1" applyFill="1" applyBorder="1" applyAlignment="1">
      <alignment vertical="top"/>
    </xf>
    <xf numFmtId="0" fontId="33" fillId="13" borderId="0" xfId="0" applyFont="1" applyFill="1" applyAlignment="1">
      <alignment vertical="top"/>
    </xf>
    <xf numFmtId="164" fontId="32" fillId="13" borderId="0" xfId="0" applyNumberFormat="1" applyFont="1" applyFill="1" applyBorder="1"/>
    <xf numFmtId="9" fontId="33" fillId="13" borderId="0" xfId="0" applyNumberFormat="1" applyFont="1" applyFill="1" applyBorder="1"/>
    <xf numFmtId="0" fontId="33" fillId="13" borderId="0" xfId="0" quotePrefix="1" applyFont="1" applyFill="1" applyBorder="1"/>
    <xf numFmtId="0" fontId="32" fillId="14" borderId="43" xfId="0" applyFont="1" applyFill="1" applyBorder="1"/>
    <xf numFmtId="0" fontId="33" fillId="13" borderId="55" xfId="0" applyFont="1" applyFill="1" applyBorder="1"/>
    <xf numFmtId="0" fontId="33" fillId="13" borderId="44" xfId="0" applyFont="1" applyFill="1" applyBorder="1"/>
    <xf numFmtId="0" fontId="33" fillId="13" borderId="45" xfId="0" applyFont="1" applyFill="1" applyBorder="1"/>
    <xf numFmtId="0" fontId="33" fillId="13" borderId="46" xfId="0" applyFont="1" applyFill="1" applyBorder="1"/>
    <xf numFmtId="0" fontId="33" fillId="13" borderId="47" xfId="0" applyFont="1" applyFill="1" applyBorder="1"/>
    <xf numFmtId="0" fontId="33" fillId="13" borderId="56" xfId="0" applyFont="1" applyFill="1" applyBorder="1"/>
    <xf numFmtId="0" fontId="33" fillId="13" borderId="48" xfId="0" applyFont="1" applyFill="1" applyBorder="1"/>
    <xf numFmtId="0" fontId="32" fillId="17" borderId="43" xfId="0" applyFont="1" applyFill="1" applyBorder="1"/>
    <xf numFmtId="9" fontId="33" fillId="13" borderId="45" xfId="0" applyNumberFormat="1" applyFont="1" applyFill="1" applyBorder="1"/>
    <xf numFmtId="8" fontId="33" fillId="13" borderId="45" xfId="0" applyNumberFormat="1" applyFont="1" applyFill="1" applyBorder="1"/>
    <xf numFmtId="0" fontId="33" fillId="13" borderId="45" xfId="0" applyFont="1" applyFill="1" applyBorder="1" applyAlignment="1">
      <alignment vertical="top"/>
    </xf>
    <xf numFmtId="0" fontId="33" fillId="13" borderId="46" xfId="0" applyFont="1" applyFill="1" applyBorder="1" applyAlignment="1">
      <alignment vertical="top"/>
    </xf>
    <xf numFmtId="9" fontId="33" fillId="13" borderId="56" xfId="0" applyNumberFormat="1" applyFont="1" applyFill="1" applyBorder="1"/>
    <xf numFmtId="0" fontId="32" fillId="12" borderId="43" xfId="0" applyFont="1" applyFill="1" applyBorder="1"/>
    <xf numFmtId="0" fontId="33" fillId="13" borderId="43" xfId="0" applyFont="1" applyFill="1" applyBorder="1"/>
    <xf numFmtId="0" fontId="32" fillId="16" borderId="43" xfId="0" applyFont="1" applyFill="1" applyBorder="1"/>
    <xf numFmtId="0" fontId="32" fillId="16" borderId="58" xfId="0" applyFont="1" applyFill="1" applyBorder="1" applyAlignment="1">
      <alignment horizontal="center"/>
    </xf>
    <xf numFmtId="0" fontId="32" fillId="12" borderId="58" xfId="0" applyFont="1" applyFill="1" applyBorder="1" applyAlignment="1">
      <alignment horizontal="center"/>
    </xf>
    <xf numFmtId="0" fontId="32" fillId="17" borderId="58" xfId="0" applyFont="1" applyFill="1" applyBorder="1" applyAlignment="1">
      <alignment horizontal="center"/>
    </xf>
    <xf numFmtId="0" fontId="32" fillId="14" borderId="59" xfId="0" applyFont="1" applyFill="1" applyBorder="1"/>
    <xf numFmtId="165" fontId="33" fillId="13" borderId="44" xfId="0" applyNumberFormat="1" applyFont="1" applyFill="1" applyBorder="1"/>
    <xf numFmtId="0" fontId="33" fillId="13" borderId="0" xfId="0" applyFont="1" applyFill="1" applyBorder="1" applyAlignment="1"/>
    <xf numFmtId="168" fontId="33" fillId="17" borderId="49" xfId="1" applyNumberFormat="1" applyFont="1" applyFill="1" applyBorder="1"/>
    <xf numFmtId="44" fontId="33" fillId="17" borderId="51" xfId="0" applyNumberFormat="1" applyFont="1" applyFill="1" applyBorder="1"/>
    <xf numFmtId="44" fontId="33" fillId="13" borderId="63" xfId="6" applyNumberFormat="1" applyFont="1" applyFill="1" applyBorder="1"/>
    <xf numFmtId="10" fontId="39" fillId="13" borderId="43" xfId="0" quotePrefix="1" applyNumberFormat="1" applyFont="1" applyFill="1" applyBorder="1" applyAlignment="1">
      <alignment horizontal="right"/>
    </xf>
    <xf numFmtId="9" fontId="33" fillId="13" borderId="47" xfId="0" applyNumberFormat="1" applyFont="1" applyFill="1" applyBorder="1"/>
    <xf numFmtId="0" fontId="33" fillId="13" borderId="42" xfId="0" applyFont="1" applyFill="1" applyBorder="1"/>
    <xf numFmtId="165" fontId="33" fillId="13" borderId="42" xfId="0" applyNumberFormat="1" applyFont="1" applyFill="1" applyBorder="1"/>
    <xf numFmtId="165" fontId="41" fillId="13" borderId="42" xfId="0" applyNumberFormat="1" applyFont="1" applyFill="1" applyBorder="1"/>
    <xf numFmtId="165" fontId="32" fillId="13" borderId="42" xfId="0" applyNumberFormat="1" applyFont="1" applyFill="1" applyBorder="1"/>
    <xf numFmtId="0" fontId="33" fillId="13" borderId="45" xfId="0" applyFont="1" applyFill="1" applyBorder="1" applyAlignment="1">
      <alignment wrapText="1"/>
    </xf>
    <xf numFmtId="166" fontId="33" fillId="13" borderId="56" xfId="6" applyNumberFormat="1" applyFont="1" applyFill="1" applyBorder="1"/>
    <xf numFmtId="44" fontId="33" fillId="13" borderId="55" xfId="1" applyFont="1" applyFill="1" applyBorder="1"/>
    <xf numFmtId="0" fontId="33" fillId="13" borderId="0" xfId="0" applyFont="1" applyFill="1" applyBorder="1" applyAlignment="1">
      <alignment horizontal="left" wrapText="1"/>
    </xf>
    <xf numFmtId="0" fontId="33" fillId="13" borderId="0" xfId="0" applyFont="1" applyFill="1" applyBorder="1" applyAlignment="1">
      <alignment horizontal="left" vertical="center"/>
    </xf>
    <xf numFmtId="165" fontId="41" fillId="13" borderId="0" xfId="0" applyNumberFormat="1" applyFont="1" applyFill="1" applyBorder="1"/>
    <xf numFmtId="0" fontId="33" fillId="13" borderId="52" xfId="0" applyFont="1" applyFill="1" applyBorder="1"/>
    <xf numFmtId="0" fontId="33" fillId="13" borderId="53" xfId="0" applyFont="1" applyFill="1" applyBorder="1"/>
    <xf numFmtId="164" fontId="16" fillId="3" borderId="0" xfId="0" applyNumberFormat="1" applyFont="1" applyFill="1" applyBorder="1"/>
    <xf numFmtId="164" fontId="16" fillId="10" borderId="64" xfId="0" applyNumberFormat="1" applyFont="1" applyFill="1" applyBorder="1"/>
    <xf numFmtId="164" fontId="16" fillId="10" borderId="65" xfId="0" applyNumberFormat="1" applyFont="1" applyFill="1" applyBorder="1"/>
    <xf numFmtId="164" fontId="16" fillId="10" borderId="66" xfId="0" applyNumberFormat="1" applyFont="1" applyFill="1" applyBorder="1"/>
    <xf numFmtId="164" fontId="16" fillId="3" borderId="67" xfId="0" applyNumberFormat="1" applyFont="1" applyFill="1" applyBorder="1"/>
    <xf numFmtId="164" fontId="16" fillId="3" borderId="68" xfId="0" applyNumberFormat="1" applyFont="1" applyFill="1" applyBorder="1"/>
    <xf numFmtId="164" fontId="16" fillId="10" borderId="69" xfId="0" applyNumberFormat="1" applyFont="1" applyFill="1" applyBorder="1"/>
    <xf numFmtId="164" fontId="16" fillId="10" borderId="70" xfId="0" applyNumberFormat="1" applyFont="1" applyFill="1" applyBorder="1"/>
    <xf numFmtId="164" fontId="16" fillId="10" borderId="71" xfId="0" applyNumberFormat="1" applyFont="1" applyFill="1" applyBorder="1"/>
    <xf numFmtId="0" fontId="33" fillId="13" borderId="0" xfId="0" applyFont="1" applyFill="1" applyBorder="1" applyAlignment="1">
      <alignment horizontal="center"/>
    </xf>
    <xf numFmtId="0" fontId="33" fillId="13" borderId="0" xfId="0" applyFont="1" applyFill="1" applyAlignment="1">
      <alignment horizontal="center"/>
    </xf>
    <xf numFmtId="165" fontId="33" fillId="13" borderId="0" xfId="0" applyNumberFormat="1" applyFont="1" applyFill="1"/>
    <xf numFmtId="0" fontId="37" fillId="13" borderId="0" xfId="0" applyFont="1" applyFill="1" applyBorder="1" applyAlignment="1">
      <alignment horizontal="center" wrapText="1"/>
    </xf>
    <xf numFmtId="165" fontId="33" fillId="13" borderId="0" xfId="0" applyNumberFormat="1" applyFont="1" applyFill="1" applyBorder="1" applyAlignment="1">
      <alignment horizontal="center"/>
    </xf>
    <xf numFmtId="0" fontId="33" fillId="13" borderId="0" xfId="0" applyFont="1" applyFill="1" applyAlignment="1">
      <alignment wrapText="1"/>
    </xf>
    <xf numFmtId="9" fontId="33" fillId="13" borderId="42" xfId="2" applyFont="1" applyFill="1" applyBorder="1"/>
    <xf numFmtId="166" fontId="33" fillId="13" borderId="0" xfId="6" applyNumberFormat="1" applyFont="1" applyFill="1" applyBorder="1"/>
    <xf numFmtId="165" fontId="33" fillId="13" borderId="0" xfId="6" applyNumberFormat="1" applyFont="1" applyFill="1" applyBorder="1"/>
    <xf numFmtId="9" fontId="33" fillId="13" borderId="0" xfId="2" applyFont="1" applyFill="1"/>
    <xf numFmtId="165" fontId="33" fillId="13" borderId="0" xfId="0" applyNumberFormat="1" applyFont="1" applyFill="1"/>
    <xf numFmtId="0" fontId="33" fillId="13" borderId="43" xfId="0" applyFont="1" applyFill="1" applyBorder="1" applyAlignment="1">
      <alignment wrapText="1"/>
    </xf>
    <xf numFmtId="165" fontId="33" fillId="13" borderId="44" xfId="6" applyNumberFormat="1" applyFont="1" applyFill="1" applyBorder="1"/>
    <xf numFmtId="165" fontId="33" fillId="13" borderId="46" xfId="6" applyNumberFormat="1" applyFont="1" applyFill="1" applyBorder="1"/>
    <xf numFmtId="165" fontId="41" fillId="13" borderId="72" xfId="6" applyNumberFormat="1" applyFont="1" applyFill="1" applyBorder="1"/>
    <xf numFmtId="165" fontId="33" fillId="13" borderId="48" xfId="6" applyNumberFormat="1" applyFont="1" applyFill="1" applyBorder="1"/>
    <xf numFmtId="165" fontId="33" fillId="13" borderId="46" xfId="0" applyNumberFormat="1" applyFont="1" applyFill="1" applyBorder="1"/>
    <xf numFmtId="9" fontId="33" fillId="13" borderId="48" xfId="2" applyFont="1" applyFill="1" applyBorder="1"/>
    <xf numFmtId="165" fontId="33" fillId="13" borderId="0" xfId="1" applyNumberFormat="1" applyFont="1" applyFill="1" applyBorder="1"/>
    <xf numFmtId="165" fontId="41" fillId="13" borderId="0" xfId="1" applyNumberFormat="1" applyFont="1" applyFill="1" applyBorder="1"/>
    <xf numFmtId="9" fontId="35" fillId="13" borderId="46" xfId="2" applyNumberFormat="1" applyFont="1" applyFill="1" applyBorder="1"/>
    <xf numFmtId="0" fontId="33" fillId="13" borderId="47" xfId="0" applyFont="1" applyFill="1" applyBorder="1" applyAlignment="1">
      <alignment wrapText="1"/>
    </xf>
    <xf numFmtId="165" fontId="33" fillId="13" borderId="56" xfId="1" applyNumberFormat="1" applyFont="1" applyFill="1" applyBorder="1"/>
    <xf numFmtId="9" fontId="35" fillId="13" borderId="48" xfId="2" applyNumberFormat="1" applyFont="1" applyFill="1" applyBorder="1"/>
    <xf numFmtId="165" fontId="33" fillId="13" borderId="41" xfId="1" applyNumberFormat="1" applyFont="1" applyFill="1" applyBorder="1"/>
    <xf numFmtId="166" fontId="33" fillId="18" borderId="45" xfId="0" applyNumberFormat="1" applyFont="1" applyFill="1" applyBorder="1"/>
    <xf numFmtId="166" fontId="33" fillId="13" borderId="55" xfId="6" applyNumberFormat="1" applyFont="1" applyFill="1" applyBorder="1"/>
    <xf numFmtId="164" fontId="33" fillId="13" borderId="0" xfId="0" applyNumberFormat="1" applyFont="1" applyFill="1"/>
    <xf numFmtId="0" fontId="34" fillId="13" borderId="0" xfId="0" applyFont="1" applyFill="1" applyBorder="1" applyAlignment="1">
      <alignment vertical="top" wrapText="1"/>
    </xf>
    <xf numFmtId="0" fontId="33" fillId="13" borderId="0" xfId="0" applyFont="1" applyFill="1" applyBorder="1" applyAlignment="1">
      <alignment vertical="top"/>
    </xf>
    <xf numFmtId="0" fontId="33" fillId="13" borderId="0" xfId="0" applyFont="1" applyFill="1" applyBorder="1" applyAlignment="1"/>
    <xf numFmtId="0" fontId="43" fillId="13" borderId="0" xfId="0" applyFont="1" applyFill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left"/>
    </xf>
    <xf numFmtId="165" fontId="33" fillId="13" borderId="0" xfId="0" applyNumberFormat="1" applyFont="1" applyFill="1" applyBorder="1"/>
    <xf numFmtId="165" fontId="33" fillId="13" borderId="0" xfId="0" applyNumberFormat="1" applyFont="1" applyFill="1" applyBorder="1" applyAlignment="1">
      <alignment horizontal="right" vertical="center"/>
    </xf>
    <xf numFmtId="0" fontId="33" fillId="13" borderId="0" xfId="0" applyFont="1" applyFill="1" applyBorder="1" applyAlignment="1">
      <alignment horizontal="left" vertical="center"/>
    </xf>
    <xf numFmtId="165" fontId="33" fillId="13" borderId="0" xfId="0" applyNumberFormat="1" applyFont="1" applyFill="1" applyBorder="1" applyAlignment="1">
      <alignment horizontal="right"/>
    </xf>
    <xf numFmtId="165" fontId="41" fillId="13" borderId="0" xfId="0" applyNumberFormat="1" applyFont="1" applyFill="1" applyBorder="1"/>
    <xf numFmtId="0" fontId="26" fillId="1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0" fontId="33" fillId="13" borderId="0" xfId="0" applyFont="1" applyFill="1" applyBorder="1" applyAlignment="1">
      <alignment horizontal="left" wrapText="1"/>
    </xf>
    <xf numFmtId="0" fontId="33" fillId="13" borderId="0" xfId="0" applyFont="1" applyFill="1" applyAlignment="1">
      <alignment horizontal="center"/>
    </xf>
    <xf numFmtId="0" fontId="44" fillId="13" borderId="0" xfId="0" applyFont="1" applyFill="1" applyAlignment="1">
      <alignment horizontal="center"/>
    </xf>
    <xf numFmtId="165" fontId="33" fillId="13" borderId="42" xfId="0" applyNumberFormat="1" applyFont="1" applyFill="1" applyBorder="1" applyAlignment="1">
      <alignment horizontal="right" vertical="center"/>
    </xf>
    <xf numFmtId="0" fontId="33" fillId="13" borderId="42" xfId="0" applyFont="1" applyFill="1" applyBorder="1" applyAlignment="1">
      <alignment horizontal="left" wrapText="1"/>
    </xf>
    <xf numFmtId="0" fontId="33" fillId="13" borderId="52" xfId="0" applyFont="1" applyFill="1" applyBorder="1" applyAlignment="1">
      <alignment horizontal="left" wrapText="1"/>
    </xf>
    <xf numFmtId="0" fontId="33" fillId="13" borderId="53" xfId="0" applyFont="1" applyFill="1" applyBorder="1" applyAlignment="1">
      <alignment horizontal="left" wrapText="1"/>
    </xf>
    <xf numFmtId="0" fontId="33" fillId="13" borderId="42" xfId="0" applyFont="1" applyFill="1" applyBorder="1" applyAlignment="1">
      <alignment horizontal="center"/>
    </xf>
    <xf numFmtId="165" fontId="33" fillId="13" borderId="42" xfId="0" applyNumberFormat="1" applyFont="1" applyFill="1" applyBorder="1" applyAlignment="1">
      <alignment horizontal="right"/>
    </xf>
    <xf numFmtId="165" fontId="41" fillId="13" borderId="42" xfId="0" applyNumberFormat="1" applyFont="1" applyFill="1" applyBorder="1"/>
    <xf numFmtId="165" fontId="32" fillId="13" borderId="42" xfId="0" applyNumberFormat="1" applyFont="1" applyFill="1" applyBorder="1"/>
    <xf numFmtId="0" fontId="33" fillId="13" borderId="42" xfId="0" applyFont="1" applyFill="1" applyBorder="1" applyAlignment="1">
      <alignment horizontal="left" vertical="center" wrapText="1"/>
    </xf>
    <xf numFmtId="0" fontId="32" fillId="13" borderId="0" xfId="0" applyFont="1" applyFill="1" applyAlignment="1">
      <alignment horizontal="center" wrapText="1"/>
    </xf>
    <xf numFmtId="0" fontId="32" fillId="13" borderId="0" xfId="0" applyFont="1" applyFill="1" applyAlignment="1">
      <alignment horizontal="center"/>
    </xf>
    <xf numFmtId="165" fontId="33" fillId="13" borderId="0" xfId="0" applyNumberFormat="1" applyFont="1" applyFill="1" applyAlignment="1">
      <alignment horizontal="right"/>
    </xf>
    <xf numFmtId="0" fontId="42" fillId="13" borderId="0" xfId="0" applyFont="1" applyFill="1" applyAlignment="1">
      <alignment horizontal="center"/>
    </xf>
    <xf numFmtId="165" fontId="33" fillId="13" borderId="0" xfId="0" applyNumberFormat="1" applyFont="1" applyFill="1"/>
    <xf numFmtId="0" fontId="33" fillId="13" borderId="0" xfId="0" applyFont="1" applyFill="1" applyAlignment="1">
      <alignment horizontal="left" wrapText="1"/>
    </xf>
    <xf numFmtId="165" fontId="33" fillId="13" borderId="0" xfId="0" applyNumberFormat="1" applyFont="1" applyFill="1" applyAlignment="1">
      <alignment horizontal="right" vertical="center"/>
    </xf>
    <xf numFmtId="0" fontId="33" fillId="13" borderId="0" xfId="0" applyFont="1" applyFill="1" applyAlignment="1">
      <alignment horizontal="left" vertical="center"/>
    </xf>
    <xf numFmtId="165" fontId="41" fillId="13" borderId="0" xfId="0" applyNumberFormat="1" applyFont="1" applyFill="1"/>
    <xf numFmtId="0" fontId="1" fillId="0" borderId="16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64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7">
    <cellStyle name="Comma" xfId="4" builtinId="3"/>
    <cellStyle name="Currency" xfId="1" builtinId="4"/>
    <cellStyle name="Hyperlink" xfId="3" builtinId="8"/>
    <cellStyle name="Input" xfId="5" builtinId="20"/>
    <cellStyle name="Linked Cell" xfId="6" builtinId="24"/>
    <cellStyle name="Normal" xfId="0" builtinId="0"/>
    <cellStyle name="Percent" xfId="2" builtinId="5"/>
  </cellStyles>
  <dxfs count="6">
    <dxf>
      <alignment horizontal="right" vertical="bottom" textRotation="0" wrapText="0" indent="0" justifyLastLine="0" shrinkToFit="0" readingOrder="0"/>
    </dxf>
    <dxf>
      <numFmt numFmtId="14" formatCode="0.00%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'Units EStimate'!$B$5</c:f>
              <c:strCache>
                <c:ptCount val="1"/>
                <c:pt idx="0">
                  <c:v>Estimated Total Units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'Units EStimate'!$A$6:$A$9</c:f>
              <c:strCache>
                <c:ptCount val="4"/>
                <c:pt idx="0">
                  <c:v>Final Plats approved  after 1/30/2018</c:v>
                </c:pt>
                <c:pt idx="1">
                  <c:v>Final Plats approved after 6/26/2018</c:v>
                </c:pt>
                <c:pt idx="2">
                  <c:v>Est. Plats approved after 10/8/2018 </c:v>
                </c:pt>
                <c:pt idx="3">
                  <c:v>Est. Plats approved after 12/26/2018 </c:v>
                </c:pt>
              </c:strCache>
            </c:strRef>
          </c:cat>
          <c:val>
            <c:numRef>
              <c:f>'Units EStimate'!$B$6:$B$9</c:f>
              <c:numCache>
                <c:formatCode>General</c:formatCode>
                <c:ptCount val="4"/>
                <c:pt idx="0">
                  <c:v>1335</c:v>
                </c:pt>
                <c:pt idx="1">
                  <c:v>944</c:v>
                </c:pt>
                <c:pt idx="2">
                  <c:v>618</c:v>
                </c:pt>
                <c:pt idx="3">
                  <c:v>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B2-48F1-8E21-07F2D2EED4E8}"/>
            </c:ext>
          </c:extLst>
        </c:ser>
        <c:ser>
          <c:idx val="1"/>
          <c:order val="1"/>
          <c:tx>
            <c:strRef>
              <c:f>'Units EStimate'!$C$5</c:f>
              <c:strCache>
                <c:ptCount val="1"/>
                <c:pt idx="0">
                  <c:v>Estimated Affordable Units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636363636363632E-2"/>
                  <c:y val="-8.46560846560854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B2-48F1-8E21-07F2D2EED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1212121212121214E-2"/>
                  <c:y val="-3.386243386243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EB2-48F1-8E21-07F2D2EED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363636363636362E-2"/>
                  <c:y val="-2.1164021164021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EB2-48F1-8E21-07F2D2EED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8484848484848485E-2"/>
                  <c:y val="-4.2328042328042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B2-48F1-8E21-07F2D2EED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'Units EStimate'!$A$6:$A$9</c:f>
              <c:strCache>
                <c:ptCount val="4"/>
                <c:pt idx="0">
                  <c:v>Final Plats approved  after 1/30/2018</c:v>
                </c:pt>
                <c:pt idx="1">
                  <c:v>Final Plats approved after 6/26/2018</c:v>
                </c:pt>
                <c:pt idx="2">
                  <c:v>Est. Plats approved after 10/8/2018 </c:v>
                </c:pt>
                <c:pt idx="3">
                  <c:v>Est. Plats approved after 12/26/2018 </c:v>
                </c:pt>
              </c:strCache>
            </c:strRef>
          </c:cat>
          <c:val>
            <c:numRef>
              <c:f>'Units EStimate'!$C$6:$C$9</c:f>
              <c:numCache>
                <c:formatCode>General</c:formatCode>
                <c:ptCount val="4"/>
                <c:pt idx="0">
                  <c:v>160.19999999999999</c:v>
                </c:pt>
                <c:pt idx="1">
                  <c:v>113.28</c:v>
                </c:pt>
                <c:pt idx="2">
                  <c:v>74.16</c:v>
                </c:pt>
                <c:pt idx="3">
                  <c:v>56.4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B2-48F1-8E21-07F2D2EE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0319792"/>
        <c:axId val="300320184"/>
        <c:axId val="0"/>
      </c:bar3DChart>
      <c:catAx>
        <c:axId val="300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320184"/>
        <c:crosses val="autoZero"/>
        <c:auto val="1"/>
        <c:lblAlgn val="ctr"/>
        <c:lblOffset val="100"/>
        <c:noMultiLvlLbl val="0"/>
      </c:catAx>
      <c:valAx>
        <c:axId val="30032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6</xdr:row>
      <xdr:rowOff>47625</xdr:rowOff>
    </xdr:from>
    <xdr:to>
      <xdr:col>16</xdr:col>
      <xdr:colOff>38100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e3" displayName="Table3" ref="A3:F19" totalsRowShown="0" headerRowDxfId="5">
  <autoFilter ref="A3:F19"/>
  <tableColumns count="6">
    <tableColumn id="1" name="Method"/>
    <tableColumn id="2" name="PIL per Market Home" dataDxfId="4"/>
    <tableColumn id="3" name="PIL per SF" dataDxfId="3"/>
    <tableColumn id="4" name="total/market permit" dataDxfId="2"/>
    <tableColumn id="5" name="% of home sale" dataDxfId="1"/>
    <tableColumn id="6" name="Avg size of hom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1"/>
  <sheetViews>
    <sheetView zoomScale="180" zoomScaleNormal="180" workbookViewId="0">
      <selection activeCell="E4" sqref="E4"/>
    </sheetView>
  </sheetViews>
  <sheetFormatPr defaultColWidth="9.140625" defaultRowHeight="15" x14ac:dyDescent="0.25"/>
  <cols>
    <col min="1" max="1" width="16" style="229" customWidth="1"/>
    <col min="2" max="2" width="23.28515625" style="229" customWidth="1"/>
    <col min="3" max="3" width="22.7109375" style="229" customWidth="1"/>
    <col min="4" max="4" width="24.85546875" style="229" customWidth="1"/>
    <col min="5" max="5" width="14.7109375" style="229" customWidth="1"/>
    <col min="6" max="16384" width="9.140625" style="229"/>
  </cols>
  <sheetData>
    <row r="1" spans="1:5" x14ac:dyDescent="0.25">
      <c r="A1" s="234" t="s">
        <v>1476</v>
      </c>
    </row>
    <row r="2" spans="1:5" ht="15.75" thickBot="1" x14ac:dyDescent="0.3"/>
    <row r="3" spans="1:5" x14ac:dyDescent="0.25">
      <c r="A3" s="337"/>
      <c r="B3" s="374" t="s">
        <v>1438</v>
      </c>
      <c r="C3" s="375" t="s">
        <v>1459</v>
      </c>
      <c r="D3" s="376" t="s">
        <v>1228</v>
      </c>
      <c r="E3" s="377" t="s">
        <v>1426</v>
      </c>
    </row>
    <row r="4" spans="1:5" ht="15.75" thickBot="1" x14ac:dyDescent="0.3">
      <c r="A4" s="338" t="s">
        <v>1439</v>
      </c>
      <c r="B4" s="339">
        <f>'Replacement Calculations'!F16</f>
        <v>17.796961</v>
      </c>
      <c r="C4" s="339">
        <f>'Replacement Calculations'!F31</f>
        <v>16.163011999999998</v>
      </c>
      <c r="D4" s="339">
        <f>'Replacement Calculations'!F45</f>
        <v>16.605057428571428</v>
      </c>
      <c r="E4" s="340">
        <f>'Replacement Calculations'!D55</f>
        <v>16.93447038095238</v>
      </c>
    </row>
    <row r="8" spans="1:5" x14ac:dyDescent="0.25">
      <c r="A8" s="333"/>
    </row>
    <row r="9" spans="1:5" x14ac:dyDescent="0.25">
      <c r="A9" s="333"/>
    </row>
    <row r="10" spans="1:5" x14ac:dyDescent="0.25">
      <c r="A10" s="333"/>
    </row>
    <row r="11" spans="1:5" x14ac:dyDescent="0.25">
      <c r="A11" s="33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22"/>
  <sheetViews>
    <sheetView zoomScale="200" zoomScaleNormal="200" workbookViewId="0">
      <selection activeCell="B16" sqref="B16"/>
    </sheetView>
  </sheetViews>
  <sheetFormatPr defaultColWidth="9.140625" defaultRowHeight="15" x14ac:dyDescent="0.25"/>
  <cols>
    <col min="1" max="1" width="2.140625" style="229" customWidth="1"/>
    <col min="2" max="2" width="34.140625" style="229" bestFit="1" customWidth="1"/>
    <col min="3" max="3" width="0.7109375" style="229" customWidth="1"/>
    <col min="4" max="4" width="15" style="229" customWidth="1"/>
    <col min="5" max="6" width="13.5703125" style="229" customWidth="1"/>
    <col min="7" max="7" width="14" style="229" bestFit="1" customWidth="1"/>
    <col min="8" max="8" width="12.28515625" style="229" customWidth="1"/>
    <col min="9" max="16384" width="9.140625" style="229"/>
  </cols>
  <sheetData>
    <row r="1" spans="2:8" ht="15.75" thickBot="1" x14ac:dyDescent="0.3">
      <c r="B1" s="230"/>
    </row>
    <row r="2" spans="2:8" ht="15.75" thickBot="1" x14ac:dyDescent="0.3">
      <c r="B2" s="254" t="s">
        <v>1445</v>
      </c>
      <c r="C2" s="231"/>
      <c r="D2" s="227" t="s">
        <v>1468</v>
      </c>
      <c r="E2" s="231"/>
      <c r="F2" s="232"/>
    </row>
    <row r="3" spans="2:8" x14ac:dyDescent="0.25">
      <c r="B3" s="255" t="s">
        <v>1427</v>
      </c>
      <c r="C3" s="233"/>
    </row>
    <row r="4" spans="2:8" x14ac:dyDescent="0.25">
      <c r="D4" s="256" t="s">
        <v>1424</v>
      </c>
      <c r="E4" s="256" t="s">
        <v>1422</v>
      </c>
      <c r="F4" s="257"/>
      <c r="G4" s="256" t="s">
        <v>1426</v>
      </c>
    </row>
    <row r="5" spans="2:8" x14ac:dyDescent="0.25">
      <c r="B5" s="235" t="s">
        <v>1405</v>
      </c>
      <c r="C5" s="235"/>
      <c r="D5" s="258">
        <v>465050</v>
      </c>
      <c r="E5" s="259">
        <v>308500</v>
      </c>
      <c r="G5" s="266">
        <v>425000</v>
      </c>
    </row>
    <row r="6" spans="2:8" x14ac:dyDescent="0.25">
      <c r="B6" s="235" t="s">
        <v>1425</v>
      </c>
      <c r="C6" s="235"/>
      <c r="D6" s="260">
        <v>520238</v>
      </c>
      <c r="E6" s="261">
        <v>317269</v>
      </c>
      <c r="G6" s="267">
        <v>459521</v>
      </c>
    </row>
    <row r="7" spans="2:8" x14ac:dyDescent="0.25">
      <c r="B7" s="235" t="s">
        <v>1414</v>
      </c>
      <c r="C7" s="235"/>
      <c r="D7" s="262">
        <v>164</v>
      </c>
      <c r="E7" s="263">
        <v>70</v>
      </c>
      <c r="G7" s="268">
        <v>234</v>
      </c>
      <c r="H7" s="236"/>
    </row>
    <row r="8" spans="2:8" x14ac:dyDescent="0.25">
      <c r="B8" s="237" t="s">
        <v>1404</v>
      </c>
      <c r="C8" s="235"/>
      <c r="D8" s="264">
        <f>IF('Gap Summary'!B4="Base",'Affordable Sales Price'!F5,'Affordable Sales Price - alt'!H5)</f>
        <v>315319.60249599192</v>
      </c>
      <c r="E8" s="265">
        <f>IF('Gap Summary'!B4="Base",'Affordable Sales Price'!F9,'Affordable Sales Price - alt'!H7)</f>
        <v>238101.10621835536</v>
      </c>
      <c r="G8" s="269">
        <f>AVERAGE(D8:E8)</f>
        <v>276710.35435717367</v>
      </c>
    </row>
    <row r="9" spans="2:8" ht="9.6" customHeight="1" x14ac:dyDescent="0.25">
      <c r="B9" s="238"/>
      <c r="C9" s="235"/>
      <c r="D9" s="239"/>
      <c r="E9" s="239"/>
      <c r="G9" s="239"/>
    </row>
    <row r="10" spans="2:8" x14ac:dyDescent="0.25">
      <c r="B10" s="235" t="s">
        <v>1409</v>
      </c>
      <c r="C10" s="235"/>
      <c r="D10" s="244">
        <f>D5-D8</f>
        <v>149730.39750400808</v>
      </c>
      <c r="E10" s="245">
        <f>E5-E8</f>
        <v>70398.893781644641</v>
      </c>
      <c r="G10" s="246">
        <f>G5-G8</f>
        <v>148289.64564282633</v>
      </c>
    </row>
    <row r="11" spans="2:8" x14ac:dyDescent="0.25">
      <c r="B11" s="235"/>
      <c r="C11" s="235"/>
    </row>
    <row r="12" spans="2:8" x14ac:dyDescent="0.25">
      <c r="B12" s="235" t="s">
        <v>1410</v>
      </c>
      <c r="C12" s="235"/>
      <c r="D12" s="270">
        <v>2059</v>
      </c>
      <c r="E12" s="271">
        <v>1260</v>
      </c>
      <c r="G12" s="272">
        <v>1734</v>
      </c>
    </row>
    <row r="13" spans="2:8" x14ac:dyDescent="0.25">
      <c r="B13" s="235"/>
      <c r="C13" s="235"/>
    </row>
    <row r="14" spans="2:8" x14ac:dyDescent="0.25">
      <c r="B14" s="235" t="s">
        <v>1408</v>
      </c>
      <c r="C14" s="235"/>
      <c r="D14" s="249">
        <f>D10/D12</f>
        <v>72.719959933952438</v>
      </c>
      <c r="E14" s="250">
        <f>E10/E12</f>
        <v>55.872137921940194</v>
      </c>
      <c r="G14" s="247">
        <f>G10/G12</f>
        <v>85.518826783636868</v>
      </c>
    </row>
    <row r="15" spans="2:8" x14ac:dyDescent="0.25">
      <c r="B15" s="235"/>
      <c r="C15" s="235"/>
    </row>
    <row r="16" spans="2:8" x14ac:dyDescent="0.25">
      <c r="B16" s="240" t="s">
        <v>1416</v>
      </c>
      <c r="C16" s="235"/>
      <c r="E16" s="251">
        <f>(((D14*D7)+(E14*E7))/(D7+E7))</f>
        <v>67.680013178222282</v>
      </c>
    </row>
    <row r="17" spans="2:7" x14ac:dyDescent="0.25">
      <c r="B17" s="235"/>
      <c r="C17" s="235"/>
    </row>
    <row r="18" spans="2:7" x14ac:dyDescent="0.25">
      <c r="B18" s="241" t="s">
        <v>1431</v>
      </c>
      <c r="C18" s="241"/>
      <c r="D18" s="252">
        <f>D14*0.12</f>
        <v>8.7263951920742926</v>
      </c>
      <c r="E18" s="253">
        <f>E14*0.12</f>
        <v>6.7046565506328228</v>
      </c>
      <c r="G18" s="248">
        <f>G14*0.12</f>
        <v>10.262259214036424</v>
      </c>
    </row>
    <row r="19" spans="2:7" x14ac:dyDescent="0.25">
      <c r="B19" s="235"/>
      <c r="C19" s="235"/>
    </row>
    <row r="20" spans="2:7" x14ac:dyDescent="0.25">
      <c r="B20" s="240" t="s">
        <v>1416</v>
      </c>
      <c r="C20" s="235"/>
      <c r="E20" s="273">
        <f>E16*0.12</f>
        <v>8.121601581386674</v>
      </c>
    </row>
    <row r="22" spans="2:7" x14ac:dyDescent="0.25">
      <c r="E22" s="322">
        <f>((D7*D12)+(E7*E12))/(D7+E7)</f>
        <v>1819.982905982906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22"/>
  <sheetViews>
    <sheetView zoomScale="210" zoomScaleNormal="210" workbookViewId="0">
      <selection activeCell="B16" sqref="B16"/>
    </sheetView>
  </sheetViews>
  <sheetFormatPr defaultColWidth="9.140625" defaultRowHeight="15" x14ac:dyDescent="0.25"/>
  <cols>
    <col min="1" max="1" width="2.140625" style="229" customWidth="1"/>
    <col min="2" max="2" width="34.140625" style="229" bestFit="1" customWidth="1"/>
    <col min="3" max="3" width="0.7109375" style="229" customWidth="1"/>
    <col min="4" max="4" width="15" style="229" customWidth="1"/>
    <col min="5" max="6" width="13.5703125" style="229" customWidth="1"/>
    <col min="7" max="7" width="14" style="229" bestFit="1" customWidth="1"/>
    <col min="8" max="8" width="12.28515625" style="229" customWidth="1"/>
    <col min="9" max="16384" width="9.140625" style="229"/>
  </cols>
  <sheetData>
    <row r="1" spans="2:8" ht="15.75" thickBot="1" x14ac:dyDescent="0.3">
      <c r="B1" s="230"/>
    </row>
    <row r="2" spans="2:8" ht="15.75" thickBot="1" x14ac:dyDescent="0.3">
      <c r="B2" s="254" t="s">
        <v>1443</v>
      </c>
      <c r="C2" s="231"/>
      <c r="D2" s="227" t="s">
        <v>1468</v>
      </c>
      <c r="E2" s="231"/>
      <c r="F2" s="232"/>
    </row>
    <row r="3" spans="2:8" x14ac:dyDescent="0.25">
      <c r="B3" s="255" t="s">
        <v>1421</v>
      </c>
      <c r="C3" s="233"/>
    </row>
    <row r="4" spans="2:8" x14ac:dyDescent="0.25">
      <c r="D4" s="256" t="s">
        <v>1424</v>
      </c>
      <c r="E4" s="256" t="s">
        <v>1422</v>
      </c>
      <c r="F4" s="257"/>
      <c r="G4" s="256" t="s">
        <v>1426</v>
      </c>
    </row>
    <row r="5" spans="2:8" x14ac:dyDescent="0.25">
      <c r="B5" s="235" t="s">
        <v>1405</v>
      </c>
      <c r="C5" s="235"/>
      <c r="D5" s="258">
        <v>458000</v>
      </c>
      <c r="E5" s="259">
        <v>310000</v>
      </c>
      <c r="G5" s="266">
        <v>419500</v>
      </c>
    </row>
    <row r="6" spans="2:8" x14ac:dyDescent="0.25">
      <c r="B6" s="235" t="s">
        <v>1425</v>
      </c>
      <c r="C6" s="235"/>
      <c r="D6" s="260">
        <v>509717</v>
      </c>
      <c r="E6" s="261">
        <v>320407</v>
      </c>
      <c r="G6" s="267">
        <v>453297</v>
      </c>
    </row>
    <row r="7" spans="2:8" x14ac:dyDescent="0.25">
      <c r="B7" s="235" t="s">
        <v>1414</v>
      </c>
      <c r="C7" s="235"/>
      <c r="D7" s="262">
        <v>285</v>
      </c>
      <c r="E7" s="263">
        <v>121</v>
      </c>
      <c r="G7" s="268">
        <v>406</v>
      </c>
      <c r="H7" s="236"/>
    </row>
    <row r="8" spans="2:8" x14ac:dyDescent="0.25">
      <c r="B8" s="237" t="s">
        <v>1404</v>
      </c>
      <c r="C8" s="235"/>
      <c r="D8" s="264">
        <f>IF('Gap Summary'!B4="Base",'Affordable Sales Price'!F5,'Affordable Sales Price - alt'!H5)</f>
        <v>315319.60249599192</v>
      </c>
      <c r="E8" s="265">
        <f>IF('Gap Summary'!B4="Base",'Affordable Sales Price'!F9,'Affordable Sales Price - alt'!H7)</f>
        <v>238101.10621835536</v>
      </c>
      <c r="G8" s="269">
        <f>AVERAGE(D8:E8)</f>
        <v>276710.35435717367</v>
      </c>
    </row>
    <row r="9" spans="2:8" ht="9.6" customHeight="1" x14ac:dyDescent="0.25">
      <c r="B9" s="238"/>
      <c r="C9" s="235"/>
      <c r="D9" s="239"/>
      <c r="E9" s="239"/>
      <c r="G9" s="239"/>
    </row>
    <row r="10" spans="2:8" x14ac:dyDescent="0.25">
      <c r="B10" s="235" t="s">
        <v>1409</v>
      </c>
      <c r="C10" s="235"/>
      <c r="D10" s="244">
        <f>D5-D8</f>
        <v>142680.39750400808</v>
      </c>
      <c r="E10" s="245">
        <f>E5-E8</f>
        <v>71898.893781644641</v>
      </c>
      <c r="G10" s="246">
        <f>G5-G8</f>
        <v>142789.64564282633</v>
      </c>
    </row>
    <row r="11" spans="2:8" x14ac:dyDescent="0.25">
      <c r="B11" s="235"/>
      <c r="C11" s="235"/>
    </row>
    <row r="12" spans="2:8" x14ac:dyDescent="0.25">
      <c r="B12" s="235" t="s">
        <v>1410</v>
      </c>
      <c r="C12" s="235"/>
      <c r="D12" s="270">
        <v>2043</v>
      </c>
      <c r="E12" s="271">
        <v>1276</v>
      </c>
      <c r="G12" s="272">
        <v>1713</v>
      </c>
    </row>
    <row r="13" spans="2:8" x14ac:dyDescent="0.25">
      <c r="B13" s="235"/>
      <c r="C13" s="235"/>
    </row>
    <row r="14" spans="2:8" x14ac:dyDescent="0.25">
      <c r="B14" s="235" t="s">
        <v>1408</v>
      </c>
      <c r="C14" s="235"/>
      <c r="D14" s="249">
        <f>D10/D12</f>
        <v>69.838667402842916</v>
      </c>
      <c r="E14" s="250">
        <f>E10/E12</f>
        <v>56.347095440160381</v>
      </c>
      <c r="G14" s="247">
        <f>G10/G12</f>
        <v>83.356477316302588</v>
      </c>
    </row>
    <row r="15" spans="2:8" x14ac:dyDescent="0.25">
      <c r="B15" s="235"/>
      <c r="C15" s="235"/>
    </row>
    <row r="16" spans="2:8" x14ac:dyDescent="0.25">
      <c r="B16" s="240" t="s">
        <v>1416</v>
      </c>
      <c r="C16" s="235"/>
      <c r="E16" s="251">
        <f>(((D14*D7)+(E14*E7))/(D7+E7))</f>
        <v>65.817780192289746</v>
      </c>
    </row>
    <row r="17" spans="2:7" x14ac:dyDescent="0.25">
      <c r="B17" s="235"/>
      <c r="C17" s="235"/>
    </row>
    <row r="18" spans="2:7" x14ac:dyDescent="0.25">
      <c r="B18" s="241" t="s">
        <v>1431</v>
      </c>
      <c r="C18" s="241"/>
      <c r="D18" s="252">
        <f>D14*0.12</f>
        <v>8.3806400883411492</v>
      </c>
      <c r="E18" s="253">
        <f>E14*0.12</f>
        <v>6.7616514528192457</v>
      </c>
      <c r="G18" s="248">
        <f>G14*0.12</f>
        <v>10.00277727795631</v>
      </c>
    </row>
    <row r="19" spans="2:7" x14ac:dyDescent="0.25">
      <c r="B19" s="235"/>
      <c r="C19" s="235"/>
    </row>
    <row r="20" spans="2:7" x14ac:dyDescent="0.25">
      <c r="B20" s="240" t="s">
        <v>1416</v>
      </c>
      <c r="C20" s="235"/>
      <c r="E20" s="273">
        <f>E16*0.12</f>
        <v>7.8981336230747692</v>
      </c>
    </row>
    <row r="22" spans="2:7" x14ac:dyDescent="0.25">
      <c r="E22" s="322">
        <f>((D7*D12)+(E7*E12))/(D7+E7)</f>
        <v>1814.4113300492611</v>
      </c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6"/>
  <sheetViews>
    <sheetView topLeftCell="I1" workbookViewId="0">
      <pane ySplit="1" topLeftCell="A473" activePane="bottomLeft" state="frozen"/>
      <selection activeCell="P494" sqref="P494"/>
      <selection pane="bottomLeft" activeCell="P494" sqref="P494"/>
    </sheetView>
  </sheetViews>
  <sheetFormatPr defaultColWidth="8.85546875" defaultRowHeight="15" x14ac:dyDescent="0.25"/>
  <cols>
    <col min="1" max="2" width="8.85546875" style="8"/>
    <col min="3" max="3" width="14.28515625" style="17" customWidth="1"/>
    <col min="4" max="4" width="13.140625" style="17" bestFit="1" customWidth="1"/>
    <col min="5" max="5" width="23.7109375" style="17" customWidth="1"/>
    <col min="6" max="6" width="40.5703125" style="17" customWidth="1"/>
    <col min="7" max="7" width="15.28515625" style="17" bestFit="1" customWidth="1"/>
    <col min="8" max="8" width="33.28515625" style="17" customWidth="1"/>
    <col min="9" max="9" width="15.42578125" style="17" customWidth="1"/>
    <col min="10" max="10" width="25.140625" style="18" customWidth="1"/>
    <col min="11" max="11" width="17.140625" style="8" customWidth="1"/>
    <col min="12" max="12" width="14.28515625" style="19" customWidth="1"/>
    <col min="13" max="13" width="54.140625" style="17" bestFit="1" customWidth="1"/>
    <col min="14" max="15" width="47.42578125" style="17" bestFit="1" customWidth="1"/>
    <col min="16" max="16" width="12.7109375" style="8" bestFit="1" customWidth="1"/>
    <col min="17" max="17" width="12.5703125" style="8" bestFit="1" customWidth="1"/>
    <col min="18" max="18" width="8.85546875" style="8"/>
    <col min="19" max="19" width="9.28515625" style="8" bestFit="1" customWidth="1"/>
    <col min="20" max="16384" width="8.85546875" style="8"/>
  </cols>
  <sheetData>
    <row r="1" spans="2:17" ht="30" x14ac:dyDescent="0.25">
      <c r="B1" s="8" t="s">
        <v>142</v>
      </c>
      <c r="C1" s="9" t="s">
        <v>2</v>
      </c>
      <c r="D1" s="9" t="s">
        <v>0</v>
      </c>
      <c r="E1" s="9" t="s">
        <v>1</v>
      </c>
      <c r="F1" s="9" t="s">
        <v>3</v>
      </c>
      <c r="G1" s="9" t="s">
        <v>4</v>
      </c>
      <c r="H1" s="9" t="s">
        <v>5</v>
      </c>
      <c r="I1" s="9" t="s">
        <v>1208</v>
      </c>
      <c r="J1" s="10" t="s">
        <v>141</v>
      </c>
      <c r="K1" s="5" t="s">
        <v>7</v>
      </c>
      <c r="L1" s="11" t="s">
        <v>8</v>
      </c>
      <c r="M1" s="9" t="s">
        <v>9</v>
      </c>
      <c r="N1" s="9" t="s">
        <v>10</v>
      </c>
      <c r="O1" s="9" t="s">
        <v>11</v>
      </c>
      <c r="P1" s="5" t="s">
        <v>12</v>
      </c>
      <c r="Q1" s="5" t="s">
        <v>13</v>
      </c>
    </row>
    <row r="2" spans="2:17" ht="30" x14ac:dyDescent="0.25">
      <c r="B2" s="8">
        <v>1</v>
      </c>
      <c r="C2" s="12" t="s">
        <v>22</v>
      </c>
      <c r="D2" s="12" t="s">
        <v>20</v>
      </c>
      <c r="E2" s="12" t="s">
        <v>21</v>
      </c>
      <c r="F2" s="12" t="s">
        <v>23</v>
      </c>
      <c r="G2" s="12" t="s">
        <v>17</v>
      </c>
      <c r="H2" s="12" t="s">
        <v>24</v>
      </c>
      <c r="I2" s="20">
        <v>1</v>
      </c>
      <c r="J2" s="13">
        <v>3929</v>
      </c>
      <c r="K2" s="14">
        <v>43116</v>
      </c>
      <c r="L2" s="15">
        <v>95000</v>
      </c>
      <c r="M2" s="12" t="s">
        <v>25</v>
      </c>
      <c r="N2" s="12" t="s">
        <v>26</v>
      </c>
      <c r="O2" s="12" t="s">
        <v>26</v>
      </c>
      <c r="P2" s="16">
        <v>38800</v>
      </c>
      <c r="Q2" s="16">
        <v>0</v>
      </c>
    </row>
    <row r="3" spans="2:17" ht="30" x14ac:dyDescent="0.25">
      <c r="B3" s="8">
        <v>1</v>
      </c>
      <c r="C3" s="12" t="s">
        <v>22</v>
      </c>
      <c r="D3" s="12" t="s">
        <v>27</v>
      </c>
      <c r="E3" s="12" t="s">
        <v>28</v>
      </c>
      <c r="F3" s="12" t="s">
        <v>23</v>
      </c>
      <c r="G3" s="12" t="s">
        <v>17</v>
      </c>
      <c r="H3" s="12" t="s">
        <v>24</v>
      </c>
      <c r="I3" s="20">
        <v>5</v>
      </c>
      <c r="J3" s="13">
        <v>21227</v>
      </c>
      <c r="K3" s="14">
        <v>43116</v>
      </c>
      <c r="L3" s="15">
        <v>715000</v>
      </c>
      <c r="M3" s="12" t="s">
        <v>25</v>
      </c>
      <c r="N3" s="12" t="s">
        <v>26</v>
      </c>
      <c r="O3" s="12" t="s">
        <v>26</v>
      </c>
      <c r="P3" s="16">
        <v>91800</v>
      </c>
      <c r="Q3" s="16">
        <v>0</v>
      </c>
    </row>
    <row r="4" spans="2:17" x14ac:dyDescent="0.25">
      <c r="B4" s="8">
        <v>1</v>
      </c>
      <c r="C4" s="12" t="s">
        <v>22</v>
      </c>
      <c r="D4" s="12" t="s">
        <v>31</v>
      </c>
      <c r="E4" s="12" t="s">
        <v>32</v>
      </c>
      <c r="F4" s="12" t="s">
        <v>33</v>
      </c>
      <c r="G4" s="12" t="s">
        <v>17</v>
      </c>
      <c r="H4" s="12" t="s">
        <v>18</v>
      </c>
      <c r="I4" s="20">
        <v>1</v>
      </c>
      <c r="J4" s="13">
        <v>6177</v>
      </c>
      <c r="K4" s="14">
        <v>43131</v>
      </c>
      <c r="L4" s="15">
        <v>1450000</v>
      </c>
      <c r="M4" s="12" t="s">
        <v>34</v>
      </c>
      <c r="N4" s="12" t="s">
        <v>35</v>
      </c>
      <c r="O4" s="12" t="s">
        <v>35</v>
      </c>
      <c r="P4" s="16">
        <v>102000</v>
      </c>
      <c r="Q4" s="16">
        <v>0</v>
      </c>
    </row>
    <row r="5" spans="2:17" x14ac:dyDescent="0.25">
      <c r="B5" s="8">
        <v>1</v>
      </c>
      <c r="C5" s="12" t="s">
        <v>22</v>
      </c>
      <c r="D5" s="12" t="s">
        <v>36</v>
      </c>
      <c r="E5" s="12" t="s">
        <v>37</v>
      </c>
      <c r="F5" s="12" t="s">
        <v>33</v>
      </c>
      <c r="G5" s="12" t="s">
        <v>17</v>
      </c>
      <c r="H5" s="12" t="s">
        <v>18</v>
      </c>
      <c r="I5" s="20">
        <v>1</v>
      </c>
      <c r="J5" s="13">
        <v>5000</v>
      </c>
      <c r="K5" s="14">
        <v>43131</v>
      </c>
      <c r="L5" s="15"/>
      <c r="M5" s="12" t="s">
        <v>34</v>
      </c>
      <c r="N5" s="12" t="s">
        <v>35</v>
      </c>
      <c r="O5" s="12" t="s">
        <v>35</v>
      </c>
      <c r="P5" s="16">
        <v>91000</v>
      </c>
      <c r="Q5" s="16">
        <v>0</v>
      </c>
    </row>
    <row r="6" spans="2:17" x14ac:dyDescent="0.25">
      <c r="B6" s="8">
        <v>1</v>
      </c>
      <c r="C6" s="12" t="s">
        <v>22</v>
      </c>
      <c r="D6" s="12" t="s">
        <v>38</v>
      </c>
      <c r="E6" s="12" t="s">
        <v>39</v>
      </c>
      <c r="F6" s="12" t="s">
        <v>33</v>
      </c>
      <c r="G6" s="12" t="s">
        <v>17</v>
      </c>
      <c r="H6" s="12" t="s">
        <v>18</v>
      </c>
      <c r="I6" s="20">
        <v>1</v>
      </c>
      <c r="J6" s="13">
        <v>5000</v>
      </c>
      <c r="K6" s="14">
        <v>43131</v>
      </c>
      <c r="L6" s="15"/>
      <c r="M6" s="12" t="s">
        <v>34</v>
      </c>
      <c r="N6" s="12" t="s">
        <v>35</v>
      </c>
      <c r="O6" s="12" t="s">
        <v>35</v>
      </c>
      <c r="P6" s="16">
        <v>91000</v>
      </c>
      <c r="Q6" s="16">
        <v>0</v>
      </c>
    </row>
    <row r="7" spans="2:17" x14ac:dyDescent="0.25">
      <c r="B7" s="8">
        <v>1</v>
      </c>
      <c r="C7" s="12" t="s">
        <v>22</v>
      </c>
      <c r="D7" s="12" t="s">
        <v>40</v>
      </c>
      <c r="E7" s="12" t="s">
        <v>41</v>
      </c>
      <c r="F7" s="12" t="s">
        <v>33</v>
      </c>
      <c r="G7" s="12" t="s">
        <v>17</v>
      </c>
      <c r="H7" s="12" t="s">
        <v>18</v>
      </c>
      <c r="I7" s="20">
        <v>1</v>
      </c>
      <c r="J7" s="13">
        <v>5000</v>
      </c>
      <c r="K7" s="14">
        <v>43131</v>
      </c>
      <c r="L7" s="15"/>
      <c r="M7" s="12" t="s">
        <v>34</v>
      </c>
      <c r="N7" s="12" t="s">
        <v>35</v>
      </c>
      <c r="O7" s="12" t="s">
        <v>35</v>
      </c>
      <c r="P7" s="16">
        <v>91000</v>
      </c>
      <c r="Q7" s="16">
        <v>0</v>
      </c>
    </row>
    <row r="8" spans="2:17" x14ac:dyDescent="0.25">
      <c r="B8" s="8">
        <v>1</v>
      </c>
      <c r="C8" s="12" t="s">
        <v>22</v>
      </c>
      <c r="D8" s="12" t="s">
        <v>42</v>
      </c>
      <c r="E8" s="12" t="s">
        <v>43</v>
      </c>
      <c r="F8" s="12" t="s">
        <v>33</v>
      </c>
      <c r="G8" s="12" t="s">
        <v>17</v>
      </c>
      <c r="H8" s="12" t="s">
        <v>18</v>
      </c>
      <c r="I8" s="20">
        <v>1</v>
      </c>
      <c r="J8" s="13">
        <v>5000</v>
      </c>
      <c r="K8" s="14">
        <v>43131</v>
      </c>
      <c r="L8" s="15"/>
      <c r="M8" s="12" t="s">
        <v>34</v>
      </c>
      <c r="N8" s="12" t="s">
        <v>35</v>
      </c>
      <c r="O8" s="12" t="s">
        <v>35</v>
      </c>
      <c r="P8" s="16">
        <v>91000</v>
      </c>
      <c r="Q8" s="16">
        <v>0</v>
      </c>
    </row>
    <row r="9" spans="2:17" x14ac:dyDescent="0.25">
      <c r="B9" s="8">
        <v>1</v>
      </c>
      <c r="C9" s="12" t="s">
        <v>22</v>
      </c>
      <c r="D9" s="12" t="s">
        <v>44</v>
      </c>
      <c r="E9" s="12" t="s">
        <v>45</v>
      </c>
      <c r="F9" s="12" t="s">
        <v>33</v>
      </c>
      <c r="G9" s="12" t="s">
        <v>17</v>
      </c>
      <c r="H9" s="12" t="s">
        <v>18</v>
      </c>
      <c r="I9" s="20">
        <v>1</v>
      </c>
      <c r="J9" s="13">
        <v>5000</v>
      </c>
      <c r="K9" s="14">
        <v>43131</v>
      </c>
      <c r="L9" s="15"/>
      <c r="M9" s="12" t="s">
        <v>34</v>
      </c>
      <c r="N9" s="12" t="s">
        <v>35</v>
      </c>
      <c r="O9" s="12" t="s">
        <v>35</v>
      </c>
      <c r="P9" s="16">
        <v>91000</v>
      </c>
      <c r="Q9" s="16">
        <v>0</v>
      </c>
    </row>
    <row r="10" spans="2:17" x14ac:dyDescent="0.25">
      <c r="B10" s="8">
        <v>1</v>
      </c>
      <c r="C10" s="12" t="s">
        <v>22</v>
      </c>
      <c r="D10" s="12" t="s">
        <v>46</v>
      </c>
      <c r="E10" s="12" t="s">
        <v>47</v>
      </c>
      <c r="F10" s="12" t="s">
        <v>33</v>
      </c>
      <c r="G10" s="12" t="s">
        <v>17</v>
      </c>
      <c r="H10" s="12" t="s">
        <v>18</v>
      </c>
      <c r="I10" s="20">
        <v>1</v>
      </c>
      <c r="J10" s="13">
        <v>5000</v>
      </c>
      <c r="K10" s="14">
        <v>43131</v>
      </c>
      <c r="L10" s="15"/>
      <c r="M10" s="12" t="s">
        <v>34</v>
      </c>
      <c r="N10" s="12" t="s">
        <v>35</v>
      </c>
      <c r="O10" s="12" t="s">
        <v>35</v>
      </c>
      <c r="P10" s="16">
        <v>91000</v>
      </c>
      <c r="Q10" s="16">
        <v>0</v>
      </c>
    </row>
    <row r="11" spans="2:17" x14ac:dyDescent="0.25">
      <c r="B11" s="8">
        <v>1</v>
      </c>
      <c r="C11" s="12" t="s">
        <v>22</v>
      </c>
      <c r="D11" s="12" t="s">
        <v>48</v>
      </c>
      <c r="E11" s="12" t="s">
        <v>49</v>
      </c>
      <c r="F11" s="12" t="s">
        <v>33</v>
      </c>
      <c r="G11" s="12" t="s">
        <v>17</v>
      </c>
      <c r="H11" s="12" t="s">
        <v>18</v>
      </c>
      <c r="I11" s="20">
        <v>1</v>
      </c>
      <c r="J11" s="13">
        <v>5000</v>
      </c>
      <c r="K11" s="14">
        <v>43131</v>
      </c>
      <c r="L11" s="15"/>
      <c r="M11" s="12" t="s">
        <v>34</v>
      </c>
      <c r="N11" s="12" t="s">
        <v>35</v>
      </c>
      <c r="O11" s="12" t="s">
        <v>35</v>
      </c>
      <c r="P11" s="16">
        <v>91000</v>
      </c>
      <c r="Q11" s="16">
        <v>0</v>
      </c>
    </row>
    <row r="12" spans="2:17" x14ac:dyDescent="0.25">
      <c r="B12" s="8">
        <v>1</v>
      </c>
      <c r="C12" s="12" t="s">
        <v>22</v>
      </c>
      <c r="D12" s="12" t="s">
        <v>50</v>
      </c>
      <c r="E12" s="12" t="s">
        <v>51</v>
      </c>
      <c r="F12" s="12" t="s">
        <v>33</v>
      </c>
      <c r="G12" s="12" t="s">
        <v>17</v>
      </c>
      <c r="H12" s="12" t="s">
        <v>18</v>
      </c>
      <c r="I12" s="20">
        <v>1</v>
      </c>
      <c r="J12" s="13">
        <v>5001</v>
      </c>
      <c r="K12" s="14">
        <v>43131</v>
      </c>
      <c r="L12" s="15"/>
      <c r="M12" s="12" t="s">
        <v>34</v>
      </c>
      <c r="N12" s="12" t="s">
        <v>35</v>
      </c>
      <c r="O12" s="12" t="s">
        <v>35</v>
      </c>
      <c r="P12" s="16">
        <v>91000</v>
      </c>
      <c r="Q12" s="16">
        <v>0</v>
      </c>
    </row>
    <row r="13" spans="2:17" x14ac:dyDescent="0.25">
      <c r="B13" s="8">
        <v>1</v>
      </c>
      <c r="C13" s="12" t="s">
        <v>22</v>
      </c>
      <c r="D13" s="12" t="s">
        <v>52</v>
      </c>
      <c r="E13" s="12" t="s">
        <v>53</v>
      </c>
      <c r="F13" s="12" t="s">
        <v>33</v>
      </c>
      <c r="G13" s="12" t="s">
        <v>17</v>
      </c>
      <c r="H13" s="12" t="s">
        <v>18</v>
      </c>
      <c r="I13" s="20">
        <v>1</v>
      </c>
      <c r="J13" s="13">
        <v>6327</v>
      </c>
      <c r="K13" s="14">
        <v>43131</v>
      </c>
      <c r="L13" s="15"/>
      <c r="M13" s="12" t="s">
        <v>34</v>
      </c>
      <c r="N13" s="12" t="s">
        <v>35</v>
      </c>
      <c r="O13" s="12" t="s">
        <v>35</v>
      </c>
      <c r="P13" s="16">
        <v>103000</v>
      </c>
      <c r="Q13" s="16">
        <v>0</v>
      </c>
    </row>
    <row r="14" spans="2:17" ht="30" x14ac:dyDescent="0.25">
      <c r="B14" s="8">
        <v>1</v>
      </c>
      <c r="C14" s="12" t="s">
        <v>22</v>
      </c>
      <c r="D14" s="12" t="s">
        <v>54</v>
      </c>
      <c r="E14" s="12" t="s">
        <v>55</v>
      </c>
      <c r="F14" s="12" t="s">
        <v>56</v>
      </c>
      <c r="G14" s="12" t="s">
        <v>17</v>
      </c>
      <c r="H14" s="12" t="s">
        <v>24</v>
      </c>
      <c r="I14" s="20">
        <v>1</v>
      </c>
      <c r="J14" s="13">
        <v>6693</v>
      </c>
      <c r="K14" s="14">
        <v>43139</v>
      </c>
      <c r="L14" s="15">
        <v>1370200</v>
      </c>
      <c r="M14" s="12" t="s">
        <v>57</v>
      </c>
      <c r="N14" s="12" t="s">
        <v>35</v>
      </c>
      <c r="O14" s="12" t="s">
        <v>35</v>
      </c>
      <c r="P14" s="16">
        <v>71300</v>
      </c>
      <c r="Q14" s="16">
        <v>0</v>
      </c>
    </row>
    <row r="15" spans="2:17" ht="30" x14ac:dyDescent="0.25">
      <c r="B15" s="8">
        <v>1</v>
      </c>
      <c r="C15" s="12" t="s">
        <v>22</v>
      </c>
      <c r="D15" s="12" t="s">
        <v>58</v>
      </c>
      <c r="E15" s="12" t="s">
        <v>59</v>
      </c>
      <c r="F15" s="12" t="s">
        <v>56</v>
      </c>
      <c r="G15" s="12" t="s">
        <v>17</v>
      </c>
      <c r="H15" s="12" t="s">
        <v>24</v>
      </c>
      <c r="I15" s="20">
        <v>1</v>
      </c>
      <c r="J15" s="13">
        <v>6818</v>
      </c>
      <c r="K15" s="14">
        <v>43139</v>
      </c>
      <c r="L15" s="15"/>
      <c r="M15" s="12" t="s">
        <v>57</v>
      </c>
      <c r="N15" s="12" t="s">
        <v>35</v>
      </c>
      <c r="O15" s="12" t="s">
        <v>35</v>
      </c>
      <c r="P15" s="16">
        <v>72200</v>
      </c>
      <c r="Q15" s="16">
        <v>0</v>
      </c>
    </row>
    <row r="16" spans="2:17" ht="30" x14ac:dyDescent="0.25">
      <c r="B16" s="8">
        <v>1</v>
      </c>
      <c r="C16" s="12" t="s">
        <v>22</v>
      </c>
      <c r="D16" s="12" t="s">
        <v>60</v>
      </c>
      <c r="E16" s="12" t="s">
        <v>61</v>
      </c>
      <c r="F16" s="12" t="s">
        <v>56</v>
      </c>
      <c r="G16" s="12" t="s">
        <v>17</v>
      </c>
      <c r="H16" s="12" t="s">
        <v>24</v>
      </c>
      <c r="I16" s="20">
        <v>1</v>
      </c>
      <c r="J16" s="13">
        <v>6837</v>
      </c>
      <c r="K16" s="14">
        <v>43139</v>
      </c>
      <c r="L16" s="15"/>
      <c r="M16" s="12" t="s">
        <v>57</v>
      </c>
      <c r="N16" s="12" t="s">
        <v>35</v>
      </c>
      <c r="O16" s="12" t="s">
        <v>62</v>
      </c>
      <c r="P16" s="16">
        <v>72600</v>
      </c>
      <c r="Q16" s="16">
        <v>0</v>
      </c>
    </row>
    <row r="17" spans="2:17" ht="30" x14ac:dyDescent="0.25">
      <c r="B17" s="8">
        <v>1</v>
      </c>
      <c r="C17" s="12" t="s">
        <v>22</v>
      </c>
      <c r="D17" s="12" t="s">
        <v>63</v>
      </c>
      <c r="E17" s="12" t="s">
        <v>64</v>
      </c>
      <c r="F17" s="12" t="s">
        <v>56</v>
      </c>
      <c r="G17" s="12" t="s">
        <v>17</v>
      </c>
      <c r="H17" s="12" t="s">
        <v>24</v>
      </c>
      <c r="I17" s="20">
        <v>1</v>
      </c>
      <c r="J17" s="13">
        <v>5462</v>
      </c>
      <c r="K17" s="14">
        <v>43139</v>
      </c>
      <c r="L17" s="15"/>
      <c r="M17" s="12" t="s">
        <v>57</v>
      </c>
      <c r="N17" s="12" t="s">
        <v>35</v>
      </c>
      <c r="O17" s="12" t="s">
        <v>35</v>
      </c>
      <c r="P17" s="16">
        <v>65200</v>
      </c>
      <c r="Q17" s="16">
        <v>0</v>
      </c>
    </row>
    <row r="18" spans="2:17" ht="30" x14ac:dyDescent="0.25">
      <c r="B18" s="8">
        <v>1</v>
      </c>
      <c r="C18" s="12" t="s">
        <v>22</v>
      </c>
      <c r="D18" s="12" t="s">
        <v>65</v>
      </c>
      <c r="E18" s="12" t="s">
        <v>66</v>
      </c>
      <c r="F18" s="12" t="s">
        <v>56</v>
      </c>
      <c r="G18" s="12" t="s">
        <v>17</v>
      </c>
      <c r="H18" s="12" t="s">
        <v>24</v>
      </c>
      <c r="I18" s="20">
        <v>1</v>
      </c>
      <c r="J18" s="13">
        <v>5695</v>
      </c>
      <c r="K18" s="14">
        <v>43139</v>
      </c>
      <c r="L18" s="15"/>
      <c r="M18" s="12" t="s">
        <v>57</v>
      </c>
      <c r="N18" s="12" t="s">
        <v>35</v>
      </c>
      <c r="O18" s="12" t="s">
        <v>35</v>
      </c>
      <c r="P18" s="16">
        <v>66200</v>
      </c>
      <c r="Q18" s="16">
        <v>0</v>
      </c>
    </row>
    <row r="19" spans="2:17" ht="30" x14ac:dyDescent="0.25">
      <c r="B19" s="8">
        <v>1</v>
      </c>
      <c r="C19" s="12" t="s">
        <v>22</v>
      </c>
      <c r="D19" s="12" t="s">
        <v>67</v>
      </c>
      <c r="E19" s="12" t="s">
        <v>68</v>
      </c>
      <c r="F19" s="12" t="s">
        <v>56</v>
      </c>
      <c r="G19" s="12" t="s">
        <v>17</v>
      </c>
      <c r="H19" s="12" t="s">
        <v>24</v>
      </c>
      <c r="I19" s="20">
        <v>1</v>
      </c>
      <c r="J19" s="13">
        <v>6255</v>
      </c>
      <c r="K19" s="14">
        <v>43139</v>
      </c>
      <c r="L19" s="15"/>
      <c r="M19" s="12" t="s">
        <v>57</v>
      </c>
      <c r="N19" s="12" t="s">
        <v>35</v>
      </c>
      <c r="O19" s="12" t="s">
        <v>35</v>
      </c>
      <c r="P19" s="16">
        <v>68800</v>
      </c>
      <c r="Q19" s="16">
        <v>0</v>
      </c>
    </row>
    <row r="20" spans="2:17" ht="30" x14ac:dyDescent="0.25">
      <c r="B20" s="8">
        <v>1</v>
      </c>
      <c r="C20" s="12" t="s">
        <v>22</v>
      </c>
      <c r="D20" s="12" t="s">
        <v>69</v>
      </c>
      <c r="E20" s="12" t="s">
        <v>70</v>
      </c>
      <c r="F20" s="12" t="s">
        <v>56</v>
      </c>
      <c r="G20" s="12" t="s">
        <v>17</v>
      </c>
      <c r="H20" s="12" t="s">
        <v>24</v>
      </c>
      <c r="I20" s="20">
        <v>1</v>
      </c>
      <c r="J20" s="13">
        <v>5953</v>
      </c>
      <c r="K20" s="14">
        <v>43139</v>
      </c>
      <c r="L20" s="15"/>
      <c r="M20" s="12" t="s">
        <v>57</v>
      </c>
      <c r="N20" s="12" t="s">
        <v>35</v>
      </c>
      <c r="O20" s="12" t="s">
        <v>35</v>
      </c>
      <c r="P20" s="16">
        <v>67900</v>
      </c>
      <c r="Q20" s="16">
        <v>0</v>
      </c>
    </row>
    <row r="21" spans="2:17" ht="30" x14ac:dyDescent="0.25">
      <c r="B21" s="8">
        <v>1</v>
      </c>
      <c r="C21" s="12" t="s">
        <v>22</v>
      </c>
      <c r="D21" s="12" t="s">
        <v>71</v>
      </c>
      <c r="E21" s="12" t="s">
        <v>72</v>
      </c>
      <c r="F21" s="12" t="s">
        <v>56</v>
      </c>
      <c r="G21" s="12" t="s">
        <v>17</v>
      </c>
      <c r="H21" s="12" t="s">
        <v>24</v>
      </c>
      <c r="I21" s="20">
        <v>1</v>
      </c>
      <c r="J21" s="13">
        <v>5548</v>
      </c>
      <c r="K21" s="14">
        <v>43139</v>
      </c>
      <c r="L21" s="15"/>
      <c r="M21" s="12" t="s">
        <v>57</v>
      </c>
      <c r="N21" s="12" t="s">
        <v>35</v>
      </c>
      <c r="O21" s="12" t="s">
        <v>35</v>
      </c>
      <c r="P21" s="16">
        <v>65200</v>
      </c>
      <c r="Q21" s="16">
        <v>0</v>
      </c>
    </row>
    <row r="22" spans="2:17" ht="30" x14ac:dyDescent="0.25">
      <c r="B22" s="8">
        <v>1</v>
      </c>
      <c r="C22" s="12" t="s">
        <v>22</v>
      </c>
      <c r="D22" s="12" t="s">
        <v>73</v>
      </c>
      <c r="E22" s="12" t="s">
        <v>74</v>
      </c>
      <c r="F22" s="12" t="s">
        <v>56</v>
      </c>
      <c r="G22" s="12" t="s">
        <v>17</v>
      </c>
      <c r="H22" s="12" t="s">
        <v>24</v>
      </c>
      <c r="I22" s="20">
        <v>1</v>
      </c>
      <c r="J22" s="13">
        <v>5524</v>
      </c>
      <c r="K22" s="14">
        <v>43139</v>
      </c>
      <c r="L22" s="15"/>
      <c r="M22" s="12" t="s">
        <v>57</v>
      </c>
      <c r="N22" s="12" t="s">
        <v>35</v>
      </c>
      <c r="O22" s="12" t="s">
        <v>35</v>
      </c>
      <c r="P22" s="16">
        <v>65200</v>
      </c>
      <c r="Q22" s="16">
        <v>0</v>
      </c>
    </row>
    <row r="23" spans="2:17" x14ac:dyDescent="0.25">
      <c r="B23" s="8">
        <v>1</v>
      </c>
      <c r="C23" s="12" t="s">
        <v>22</v>
      </c>
      <c r="D23" s="12" t="s">
        <v>75</v>
      </c>
      <c r="E23" s="12" t="s">
        <v>76</v>
      </c>
      <c r="F23" s="12" t="s">
        <v>77</v>
      </c>
      <c r="G23" s="12" t="s">
        <v>17</v>
      </c>
      <c r="H23" s="12" t="s">
        <v>18</v>
      </c>
      <c r="I23" s="20">
        <v>1</v>
      </c>
      <c r="J23" s="13">
        <v>9478</v>
      </c>
      <c r="K23" s="14">
        <v>43140</v>
      </c>
      <c r="L23" s="15">
        <v>1980000</v>
      </c>
      <c r="M23" s="12" t="s">
        <v>78</v>
      </c>
      <c r="N23" s="12" t="s">
        <v>62</v>
      </c>
      <c r="O23" s="12" t="s">
        <v>62</v>
      </c>
      <c r="P23" s="16">
        <v>50000</v>
      </c>
      <c r="Q23" s="16">
        <v>73700</v>
      </c>
    </row>
    <row r="24" spans="2:17" x14ac:dyDescent="0.25">
      <c r="B24" s="8">
        <v>1</v>
      </c>
      <c r="C24" s="12" t="s">
        <v>22</v>
      </c>
      <c r="D24" s="12" t="s">
        <v>79</v>
      </c>
      <c r="E24" s="12" t="s">
        <v>80</v>
      </c>
      <c r="F24" s="12" t="s">
        <v>77</v>
      </c>
      <c r="G24" s="12" t="s">
        <v>17</v>
      </c>
      <c r="H24" s="12" t="s">
        <v>18</v>
      </c>
      <c r="I24" s="20">
        <v>1</v>
      </c>
      <c r="J24" s="13">
        <v>7573</v>
      </c>
      <c r="K24" s="14">
        <v>43140</v>
      </c>
      <c r="L24" s="15"/>
      <c r="M24" s="12" t="s">
        <v>81</v>
      </c>
      <c r="N24" s="12" t="s">
        <v>62</v>
      </c>
      <c r="O24" s="12" t="s">
        <v>62</v>
      </c>
      <c r="P24" s="16">
        <v>38700</v>
      </c>
      <c r="Q24" s="16">
        <v>0</v>
      </c>
    </row>
    <row r="25" spans="2:17" x14ac:dyDescent="0.25">
      <c r="B25" s="8">
        <v>1</v>
      </c>
      <c r="C25" s="12" t="s">
        <v>22</v>
      </c>
      <c r="D25" s="12" t="s">
        <v>82</v>
      </c>
      <c r="E25" s="12" t="s">
        <v>83</v>
      </c>
      <c r="F25" s="12" t="s">
        <v>77</v>
      </c>
      <c r="G25" s="12" t="s">
        <v>17</v>
      </c>
      <c r="H25" s="12" t="s">
        <v>18</v>
      </c>
      <c r="I25" s="20">
        <v>1</v>
      </c>
      <c r="J25" s="13">
        <v>8738</v>
      </c>
      <c r="K25" s="14">
        <v>43140</v>
      </c>
      <c r="L25" s="15"/>
      <c r="M25" s="12" t="s">
        <v>81</v>
      </c>
      <c r="N25" s="12" t="s">
        <v>62</v>
      </c>
      <c r="O25" s="12" t="s">
        <v>62</v>
      </c>
      <c r="P25" s="16">
        <v>45700</v>
      </c>
      <c r="Q25" s="16">
        <v>0</v>
      </c>
    </row>
    <row r="26" spans="2:17" x14ac:dyDescent="0.25">
      <c r="B26" s="8">
        <v>1</v>
      </c>
      <c r="C26" s="12" t="s">
        <v>22</v>
      </c>
      <c r="D26" s="12" t="s">
        <v>84</v>
      </c>
      <c r="E26" s="12" t="s">
        <v>85</v>
      </c>
      <c r="F26" s="12" t="s">
        <v>77</v>
      </c>
      <c r="G26" s="12" t="s">
        <v>17</v>
      </c>
      <c r="H26" s="12" t="s">
        <v>18</v>
      </c>
      <c r="I26" s="20">
        <v>1</v>
      </c>
      <c r="J26" s="13">
        <v>7573</v>
      </c>
      <c r="K26" s="14">
        <v>43140</v>
      </c>
      <c r="L26" s="15"/>
      <c r="M26" s="12" t="s">
        <v>81</v>
      </c>
      <c r="N26" s="12" t="s">
        <v>62</v>
      </c>
      <c r="O26" s="12" t="s">
        <v>62</v>
      </c>
      <c r="P26" s="16">
        <v>37600</v>
      </c>
      <c r="Q26" s="16">
        <v>0</v>
      </c>
    </row>
    <row r="27" spans="2:17" x14ac:dyDescent="0.25">
      <c r="B27" s="8">
        <v>1</v>
      </c>
      <c r="C27" s="12" t="s">
        <v>22</v>
      </c>
      <c r="D27" s="12" t="s">
        <v>86</v>
      </c>
      <c r="E27" s="12" t="s">
        <v>87</v>
      </c>
      <c r="F27" s="12" t="s">
        <v>77</v>
      </c>
      <c r="G27" s="12" t="s">
        <v>17</v>
      </c>
      <c r="H27" s="12" t="s">
        <v>18</v>
      </c>
      <c r="I27" s="20">
        <v>1</v>
      </c>
      <c r="J27" s="13">
        <v>8155</v>
      </c>
      <c r="K27" s="14">
        <v>43140</v>
      </c>
      <c r="L27" s="15"/>
      <c r="M27" s="12" t="s">
        <v>78</v>
      </c>
      <c r="N27" s="12" t="s">
        <v>62</v>
      </c>
      <c r="O27" s="12" t="s">
        <v>62</v>
      </c>
      <c r="P27" s="16">
        <v>43500</v>
      </c>
      <c r="Q27" s="16">
        <v>0</v>
      </c>
    </row>
    <row r="28" spans="2:17" x14ac:dyDescent="0.25">
      <c r="B28" s="8">
        <v>1</v>
      </c>
      <c r="C28" s="12" t="s">
        <v>22</v>
      </c>
      <c r="D28" s="12" t="s">
        <v>88</v>
      </c>
      <c r="E28" s="12" t="s">
        <v>89</v>
      </c>
      <c r="F28" s="12" t="s">
        <v>77</v>
      </c>
      <c r="G28" s="12" t="s">
        <v>17</v>
      </c>
      <c r="H28" s="12" t="s">
        <v>18</v>
      </c>
      <c r="I28" s="20">
        <v>1</v>
      </c>
      <c r="J28" s="13">
        <v>9797</v>
      </c>
      <c r="K28" s="14">
        <v>43140</v>
      </c>
      <c r="L28" s="15"/>
      <c r="M28" s="12" t="s">
        <v>78</v>
      </c>
      <c r="N28" s="12" t="s">
        <v>62</v>
      </c>
      <c r="O28" s="12" t="s">
        <v>62</v>
      </c>
      <c r="P28" s="16">
        <v>54400</v>
      </c>
      <c r="Q28" s="16">
        <v>246800</v>
      </c>
    </row>
    <row r="29" spans="2:17" x14ac:dyDescent="0.25">
      <c r="B29" s="8">
        <v>1</v>
      </c>
      <c r="C29" s="12" t="s">
        <v>22</v>
      </c>
      <c r="D29" s="12" t="s">
        <v>90</v>
      </c>
      <c r="E29" s="12" t="s">
        <v>91</v>
      </c>
      <c r="F29" s="12" t="s">
        <v>77</v>
      </c>
      <c r="G29" s="12" t="s">
        <v>17</v>
      </c>
      <c r="H29" s="12" t="s">
        <v>18</v>
      </c>
      <c r="I29" s="20">
        <v>1</v>
      </c>
      <c r="J29" s="13">
        <v>8738</v>
      </c>
      <c r="K29" s="14">
        <v>43140</v>
      </c>
      <c r="L29" s="15"/>
      <c r="M29" s="12" t="s">
        <v>78</v>
      </c>
      <c r="N29" s="12" t="s">
        <v>62</v>
      </c>
      <c r="O29" s="12" t="s">
        <v>62</v>
      </c>
      <c r="P29" s="16">
        <v>43500</v>
      </c>
      <c r="Q29" s="16">
        <v>0</v>
      </c>
    </row>
    <row r="30" spans="2:17" x14ac:dyDescent="0.25">
      <c r="B30" s="8">
        <v>1</v>
      </c>
      <c r="C30" s="12" t="s">
        <v>22</v>
      </c>
      <c r="D30" s="12" t="s">
        <v>92</v>
      </c>
      <c r="E30" s="12" t="s">
        <v>93</v>
      </c>
      <c r="F30" s="12" t="s">
        <v>77</v>
      </c>
      <c r="G30" s="12" t="s">
        <v>17</v>
      </c>
      <c r="H30" s="12" t="s">
        <v>18</v>
      </c>
      <c r="I30" s="20">
        <v>1</v>
      </c>
      <c r="J30" s="13">
        <v>7573</v>
      </c>
      <c r="K30" s="14">
        <v>43140</v>
      </c>
      <c r="L30" s="15"/>
      <c r="M30" s="12" t="s">
        <v>81</v>
      </c>
      <c r="N30" s="12" t="s">
        <v>62</v>
      </c>
      <c r="O30" s="12" t="s">
        <v>62</v>
      </c>
      <c r="P30" s="16">
        <v>39100</v>
      </c>
      <c r="Q30" s="16">
        <v>0</v>
      </c>
    </row>
    <row r="31" spans="2:17" x14ac:dyDescent="0.25">
      <c r="B31" s="8">
        <v>1</v>
      </c>
      <c r="C31" s="12" t="s">
        <v>22</v>
      </c>
      <c r="D31" s="12" t="s">
        <v>94</v>
      </c>
      <c r="E31" s="12" t="s">
        <v>95</v>
      </c>
      <c r="F31" s="12" t="s">
        <v>77</v>
      </c>
      <c r="G31" s="12" t="s">
        <v>17</v>
      </c>
      <c r="H31" s="12" t="s">
        <v>18</v>
      </c>
      <c r="I31" s="20">
        <v>1</v>
      </c>
      <c r="J31" s="13">
        <v>9320</v>
      </c>
      <c r="K31" s="14">
        <v>43140</v>
      </c>
      <c r="L31" s="15"/>
      <c r="M31" s="12" t="s">
        <v>78</v>
      </c>
      <c r="N31" s="12" t="s">
        <v>62</v>
      </c>
      <c r="O31" s="12" t="s">
        <v>62</v>
      </c>
      <c r="P31" s="16">
        <v>46300</v>
      </c>
      <c r="Q31" s="16">
        <v>0</v>
      </c>
    </row>
    <row r="32" spans="2:17" x14ac:dyDescent="0.25">
      <c r="B32" s="8">
        <v>1</v>
      </c>
      <c r="C32" s="12" t="s">
        <v>22</v>
      </c>
      <c r="D32" s="12" t="s">
        <v>96</v>
      </c>
      <c r="E32" s="12" t="s">
        <v>97</v>
      </c>
      <c r="F32" s="12" t="s">
        <v>77</v>
      </c>
      <c r="G32" s="12" t="s">
        <v>17</v>
      </c>
      <c r="H32" s="12" t="s">
        <v>18</v>
      </c>
      <c r="I32" s="20">
        <v>1</v>
      </c>
      <c r="J32" s="13">
        <v>10633</v>
      </c>
      <c r="K32" s="14">
        <v>43140</v>
      </c>
      <c r="L32" s="15"/>
      <c r="M32" s="12" t="s">
        <v>78</v>
      </c>
      <c r="N32" s="12" t="s">
        <v>62</v>
      </c>
      <c r="O32" s="12" t="s">
        <v>62</v>
      </c>
      <c r="P32" s="16">
        <v>54400</v>
      </c>
      <c r="Q32" s="16">
        <v>0</v>
      </c>
    </row>
    <row r="33" spans="2:19" x14ac:dyDescent="0.25">
      <c r="B33" s="8">
        <v>1</v>
      </c>
      <c r="C33" s="12" t="s">
        <v>22</v>
      </c>
      <c r="D33" s="12" t="s">
        <v>98</v>
      </c>
      <c r="E33" s="12" t="s">
        <v>99</v>
      </c>
      <c r="F33" s="12" t="s">
        <v>77</v>
      </c>
      <c r="G33" s="12" t="s">
        <v>17</v>
      </c>
      <c r="H33" s="12" t="s">
        <v>18</v>
      </c>
      <c r="I33" s="20">
        <v>1</v>
      </c>
      <c r="J33" s="13">
        <v>8738</v>
      </c>
      <c r="K33" s="14">
        <v>43140</v>
      </c>
      <c r="L33" s="15"/>
      <c r="M33" s="12" t="s">
        <v>81</v>
      </c>
      <c r="N33" s="12" t="s">
        <v>62</v>
      </c>
      <c r="O33" s="12" t="s">
        <v>62</v>
      </c>
      <c r="P33" s="16">
        <v>45700</v>
      </c>
      <c r="Q33" s="16">
        <v>0</v>
      </c>
    </row>
    <row r="34" spans="2:19" x14ac:dyDescent="0.25">
      <c r="B34" s="8">
        <v>1</v>
      </c>
      <c r="C34" s="12" t="s">
        <v>22</v>
      </c>
      <c r="D34" s="12" t="s">
        <v>100</v>
      </c>
      <c r="E34" s="12" t="s">
        <v>101</v>
      </c>
      <c r="F34" s="12" t="s">
        <v>77</v>
      </c>
      <c r="G34" s="12" t="s">
        <v>17</v>
      </c>
      <c r="H34" s="12" t="s">
        <v>18</v>
      </c>
      <c r="I34" s="20">
        <v>1</v>
      </c>
      <c r="J34" s="13">
        <v>10485</v>
      </c>
      <c r="K34" s="14">
        <v>43140</v>
      </c>
      <c r="L34" s="15"/>
      <c r="M34" s="12" t="s">
        <v>81</v>
      </c>
      <c r="N34" s="12" t="s">
        <v>62</v>
      </c>
      <c r="O34" s="12" t="s">
        <v>62</v>
      </c>
      <c r="P34" s="16">
        <v>52000</v>
      </c>
      <c r="Q34" s="16">
        <v>0</v>
      </c>
    </row>
    <row r="35" spans="2:19" ht="30" x14ac:dyDescent="0.25">
      <c r="B35" s="8">
        <v>1</v>
      </c>
      <c r="C35" s="12" t="s">
        <v>22</v>
      </c>
      <c r="D35" s="12" t="s">
        <v>102</v>
      </c>
      <c r="E35" s="12" t="s">
        <v>103</v>
      </c>
      <c r="F35" s="12" t="s">
        <v>23</v>
      </c>
      <c r="G35" s="12" t="s">
        <v>17</v>
      </c>
      <c r="H35" s="12" t="s">
        <v>24</v>
      </c>
      <c r="I35" s="20">
        <v>1</v>
      </c>
      <c r="J35" s="13">
        <v>3962</v>
      </c>
      <c r="K35" s="14">
        <v>43140</v>
      </c>
      <c r="L35" s="15">
        <v>95000</v>
      </c>
      <c r="M35" s="12" t="s">
        <v>25</v>
      </c>
      <c r="N35" s="12" t="s">
        <v>26</v>
      </c>
      <c r="O35" s="12" t="s">
        <v>26</v>
      </c>
      <c r="P35" s="16">
        <v>38900</v>
      </c>
      <c r="Q35" s="16">
        <v>0</v>
      </c>
    </row>
    <row r="36" spans="2:19" ht="30" x14ac:dyDescent="0.25">
      <c r="B36" s="8">
        <v>1</v>
      </c>
      <c r="C36" s="12" t="s">
        <v>22</v>
      </c>
      <c r="D36" s="12" t="s">
        <v>104</v>
      </c>
      <c r="E36" s="12" t="s">
        <v>105</v>
      </c>
      <c r="F36" s="12" t="s">
        <v>106</v>
      </c>
      <c r="G36" s="12" t="s">
        <v>17</v>
      </c>
      <c r="H36" s="12" t="s">
        <v>24</v>
      </c>
      <c r="I36" s="20">
        <v>1</v>
      </c>
      <c r="J36" s="13">
        <v>2327</v>
      </c>
      <c r="K36" s="14">
        <v>43143</v>
      </c>
      <c r="L36" s="15">
        <v>282500</v>
      </c>
      <c r="M36" s="12" t="s">
        <v>107</v>
      </c>
      <c r="N36" s="12" t="s">
        <v>108</v>
      </c>
      <c r="O36" s="12" t="s">
        <v>108</v>
      </c>
      <c r="P36" s="16">
        <v>76000</v>
      </c>
      <c r="Q36" s="16">
        <v>0</v>
      </c>
    </row>
    <row r="37" spans="2:19" ht="30" x14ac:dyDescent="0.25">
      <c r="B37" s="8">
        <v>1</v>
      </c>
      <c r="C37" s="12" t="s">
        <v>22</v>
      </c>
      <c r="D37" s="12" t="s">
        <v>111</v>
      </c>
      <c r="E37" s="12" t="s">
        <v>112</v>
      </c>
      <c r="F37" s="12" t="s">
        <v>106</v>
      </c>
      <c r="G37" s="12" t="s">
        <v>17</v>
      </c>
      <c r="H37" s="12" t="s">
        <v>24</v>
      </c>
      <c r="I37" s="20">
        <v>1</v>
      </c>
      <c r="J37" s="13">
        <v>1876</v>
      </c>
      <c r="K37" s="14">
        <v>43153</v>
      </c>
      <c r="L37" s="15">
        <v>125000</v>
      </c>
      <c r="M37" s="12" t="s">
        <v>113</v>
      </c>
      <c r="N37" s="12" t="s">
        <v>114</v>
      </c>
      <c r="O37" s="12" t="s">
        <v>114</v>
      </c>
      <c r="P37" s="16">
        <v>68300</v>
      </c>
      <c r="Q37" s="16">
        <v>0</v>
      </c>
    </row>
    <row r="38" spans="2:19" ht="30" x14ac:dyDescent="0.25">
      <c r="B38" s="8">
        <v>1</v>
      </c>
      <c r="C38" s="12" t="s">
        <v>22</v>
      </c>
      <c r="D38" s="12" t="s">
        <v>115</v>
      </c>
      <c r="E38" s="12" t="s">
        <v>116</v>
      </c>
      <c r="F38" s="12" t="s">
        <v>23</v>
      </c>
      <c r="G38" s="12" t="s">
        <v>17</v>
      </c>
      <c r="H38" s="12" t="s">
        <v>24</v>
      </c>
      <c r="I38" s="20">
        <v>1</v>
      </c>
      <c r="J38" s="13">
        <v>4000</v>
      </c>
      <c r="K38" s="14">
        <v>43153</v>
      </c>
      <c r="L38" s="15">
        <v>95000</v>
      </c>
      <c r="M38" s="12" t="s">
        <v>25</v>
      </c>
      <c r="N38" s="12" t="s">
        <v>26</v>
      </c>
      <c r="O38" s="12" t="s">
        <v>26</v>
      </c>
      <c r="P38" s="16">
        <v>39100</v>
      </c>
      <c r="Q38" s="16">
        <v>0</v>
      </c>
    </row>
    <row r="39" spans="2:19" ht="30" x14ac:dyDescent="0.25">
      <c r="B39" s="8">
        <v>1</v>
      </c>
      <c r="C39" s="12" t="s">
        <v>22</v>
      </c>
      <c r="D39" s="12" t="s">
        <v>117</v>
      </c>
      <c r="E39" s="12" t="s">
        <v>118</v>
      </c>
      <c r="F39" s="12" t="s">
        <v>23</v>
      </c>
      <c r="G39" s="12" t="s">
        <v>17</v>
      </c>
      <c r="H39" s="12" t="s">
        <v>24</v>
      </c>
      <c r="I39" s="20">
        <v>1</v>
      </c>
      <c r="J39" s="13">
        <v>3974</v>
      </c>
      <c r="K39" s="14">
        <v>43153</v>
      </c>
      <c r="L39" s="15">
        <v>95000</v>
      </c>
      <c r="M39" s="12" t="s">
        <v>25</v>
      </c>
      <c r="N39" s="12" t="s">
        <v>26</v>
      </c>
      <c r="O39" s="12" t="s">
        <v>26</v>
      </c>
      <c r="P39" s="16">
        <v>39000</v>
      </c>
      <c r="Q39" s="16">
        <v>0</v>
      </c>
    </row>
    <row r="40" spans="2:19" ht="30" x14ac:dyDescent="0.25">
      <c r="B40" s="8">
        <v>1</v>
      </c>
      <c r="C40" s="12" t="s">
        <v>22</v>
      </c>
      <c r="D40" s="12" t="s">
        <v>126</v>
      </c>
      <c r="E40" s="12" t="s">
        <v>127</v>
      </c>
      <c r="F40" s="12" t="s">
        <v>56</v>
      </c>
      <c r="G40" s="12" t="s">
        <v>17</v>
      </c>
      <c r="H40" s="12" t="s">
        <v>24</v>
      </c>
      <c r="I40" s="20">
        <v>1</v>
      </c>
      <c r="J40" s="13">
        <v>7366</v>
      </c>
      <c r="K40" s="14">
        <v>43175</v>
      </c>
      <c r="L40" s="15">
        <v>485300</v>
      </c>
      <c r="M40" s="12" t="s">
        <v>57</v>
      </c>
      <c r="N40" s="12" t="s">
        <v>62</v>
      </c>
      <c r="O40" s="12" t="s">
        <v>62</v>
      </c>
      <c r="P40" s="16">
        <v>74600</v>
      </c>
      <c r="Q40" s="16">
        <v>0</v>
      </c>
    </row>
    <row r="41" spans="2:19" ht="30" x14ac:dyDescent="0.25">
      <c r="B41" s="8">
        <v>1</v>
      </c>
      <c r="C41" s="12" t="s">
        <v>22</v>
      </c>
      <c r="D41" s="12" t="s">
        <v>60</v>
      </c>
      <c r="E41" s="12" t="s">
        <v>61</v>
      </c>
      <c r="F41" s="12" t="s">
        <v>56</v>
      </c>
      <c r="G41" s="12" t="s">
        <v>17</v>
      </c>
      <c r="H41" s="12" t="s">
        <v>24</v>
      </c>
      <c r="I41" s="20">
        <v>1</v>
      </c>
      <c r="J41" s="13">
        <v>6837</v>
      </c>
      <c r="K41" s="14">
        <v>43175</v>
      </c>
      <c r="L41" s="15"/>
      <c r="M41" s="12" t="s">
        <v>57</v>
      </c>
      <c r="N41" s="12" t="s">
        <v>62</v>
      </c>
      <c r="O41" s="12" t="s">
        <v>62</v>
      </c>
      <c r="P41" s="16">
        <v>72600</v>
      </c>
      <c r="Q41" s="16">
        <v>0</v>
      </c>
    </row>
    <row r="42" spans="2:19" ht="30" x14ac:dyDescent="0.25">
      <c r="B42" s="8">
        <v>1</v>
      </c>
      <c r="C42" s="12" t="s">
        <v>22</v>
      </c>
      <c r="D42" s="12" t="s">
        <v>128</v>
      </c>
      <c r="E42" s="12" t="s">
        <v>129</v>
      </c>
      <c r="F42" s="12" t="s">
        <v>56</v>
      </c>
      <c r="G42" s="12" t="s">
        <v>17</v>
      </c>
      <c r="H42" s="12" t="s">
        <v>24</v>
      </c>
      <c r="I42" s="20">
        <v>1</v>
      </c>
      <c r="J42" s="13">
        <v>6814</v>
      </c>
      <c r="K42" s="14">
        <v>43175</v>
      </c>
      <c r="L42" s="15"/>
      <c r="M42" s="12" t="s">
        <v>57</v>
      </c>
      <c r="N42" s="12" t="s">
        <v>62</v>
      </c>
      <c r="O42" s="12" t="s">
        <v>62</v>
      </c>
      <c r="P42" s="16">
        <v>72500</v>
      </c>
      <c r="Q42" s="16">
        <v>0</v>
      </c>
    </row>
    <row r="43" spans="2:19" x14ac:dyDescent="0.25">
      <c r="B43" s="8">
        <v>1</v>
      </c>
      <c r="C43" s="12" t="s">
        <v>22</v>
      </c>
      <c r="D43" s="12" t="s">
        <v>130</v>
      </c>
      <c r="E43" s="12" t="s">
        <v>131</v>
      </c>
      <c r="F43" s="12" t="s">
        <v>132</v>
      </c>
      <c r="G43" s="12" t="s">
        <v>17</v>
      </c>
      <c r="H43" s="12" t="s">
        <v>18</v>
      </c>
      <c r="I43" s="20">
        <v>1</v>
      </c>
      <c r="J43" s="13">
        <v>5983</v>
      </c>
      <c r="K43" s="14">
        <v>43189</v>
      </c>
      <c r="L43" s="15">
        <v>453900</v>
      </c>
      <c r="M43" s="12" t="s">
        <v>133</v>
      </c>
      <c r="N43" s="12" t="s">
        <v>134</v>
      </c>
      <c r="O43" s="12" t="s">
        <v>134</v>
      </c>
      <c r="P43" s="16">
        <v>59000</v>
      </c>
      <c r="Q43" s="16">
        <v>0</v>
      </c>
    </row>
    <row r="44" spans="2:19" x14ac:dyDescent="0.25">
      <c r="B44">
        <v>1</v>
      </c>
      <c r="C44" s="2" t="s">
        <v>22</v>
      </c>
      <c r="D44" s="2" t="s">
        <v>144</v>
      </c>
      <c r="E44" s="2" t="s">
        <v>145</v>
      </c>
      <c r="F44" s="2" t="s">
        <v>106</v>
      </c>
      <c r="G44" s="2" t="s">
        <v>17</v>
      </c>
      <c r="H44" s="2" t="s">
        <v>24</v>
      </c>
      <c r="I44" s="21">
        <v>1</v>
      </c>
      <c r="J44" s="1">
        <v>2200</v>
      </c>
      <c r="K44" s="3">
        <v>42740</v>
      </c>
      <c r="L44" s="4">
        <v>175000</v>
      </c>
      <c r="M44" s="2" t="s">
        <v>146</v>
      </c>
      <c r="N44" s="2" t="s">
        <v>147</v>
      </c>
      <c r="O44" s="2" t="s">
        <v>147</v>
      </c>
      <c r="P44" s="4">
        <v>68000</v>
      </c>
      <c r="Q44" s="4">
        <v>0</v>
      </c>
      <c r="R44" s="4">
        <v>0</v>
      </c>
      <c r="S44"/>
    </row>
    <row r="45" spans="2:19" x14ac:dyDescent="0.25">
      <c r="B45">
        <v>1</v>
      </c>
      <c r="C45" s="2" t="s">
        <v>22</v>
      </c>
      <c r="D45" s="2" t="s">
        <v>148</v>
      </c>
      <c r="E45" s="2" t="s">
        <v>149</v>
      </c>
      <c r="F45" s="2" t="s">
        <v>150</v>
      </c>
      <c r="G45" s="2" t="s">
        <v>14</v>
      </c>
      <c r="H45" s="2" t="s">
        <v>15</v>
      </c>
      <c r="I45" s="21">
        <v>1</v>
      </c>
      <c r="J45" s="1">
        <v>6131</v>
      </c>
      <c r="K45" s="3">
        <v>42752</v>
      </c>
      <c r="L45" s="4">
        <v>80000</v>
      </c>
      <c r="M45" s="2" t="s">
        <v>151</v>
      </c>
      <c r="N45" s="2" t="s">
        <v>152</v>
      </c>
      <c r="O45" s="2" t="s">
        <v>153</v>
      </c>
      <c r="P45" s="4">
        <v>50000</v>
      </c>
      <c r="Q45" s="4">
        <v>0</v>
      </c>
      <c r="R45" s="4">
        <v>0</v>
      </c>
      <c r="S45"/>
    </row>
    <row r="46" spans="2:19" x14ac:dyDescent="0.25">
      <c r="B46">
        <v>1</v>
      </c>
      <c r="C46" s="2" t="s">
        <v>22</v>
      </c>
      <c r="D46" s="2" t="s">
        <v>159</v>
      </c>
      <c r="E46" s="2" t="s">
        <v>160</v>
      </c>
      <c r="F46" s="2" t="s">
        <v>23</v>
      </c>
      <c r="G46" s="2" t="s">
        <v>14</v>
      </c>
      <c r="H46" s="2" t="s">
        <v>15</v>
      </c>
      <c r="I46" s="21">
        <v>1</v>
      </c>
      <c r="J46" s="1">
        <v>5065</v>
      </c>
      <c r="K46" s="3">
        <v>42765</v>
      </c>
      <c r="L46" s="4">
        <v>100000</v>
      </c>
      <c r="M46" s="2" t="s">
        <v>25</v>
      </c>
      <c r="N46" s="2" t="s">
        <v>161</v>
      </c>
      <c r="O46" s="2" t="s">
        <v>162</v>
      </c>
      <c r="P46" s="4">
        <v>22000</v>
      </c>
      <c r="Q46" s="4">
        <v>0</v>
      </c>
      <c r="R46" s="4">
        <v>0</v>
      </c>
      <c r="S46"/>
    </row>
    <row r="47" spans="2:19" x14ac:dyDescent="0.25">
      <c r="B47">
        <v>1</v>
      </c>
      <c r="C47" s="2" t="s">
        <v>22</v>
      </c>
      <c r="D47" s="2" t="s">
        <v>172</v>
      </c>
      <c r="E47" s="2" t="s">
        <v>173</v>
      </c>
      <c r="F47" s="2" t="s">
        <v>106</v>
      </c>
      <c r="G47" s="2" t="s">
        <v>17</v>
      </c>
      <c r="H47" s="2" t="s">
        <v>24</v>
      </c>
      <c r="I47" s="21">
        <v>1</v>
      </c>
      <c r="J47" s="1">
        <v>7543</v>
      </c>
      <c r="K47" s="3">
        <v>42790</v>
      </c>
      <c r="L47" s="4">
        <v>275000</v>
      </c>
      <c r="M47" s="2" t="s">
        <v>174</v>
      </c>
      <c r="N47" s="2" t="s">
        <v>175</v>
      </c>
      <c r="O47" s="2" t="s">
        <v>175</v>
      </c>
      <c r="P47" s="4">
        <v>125000</v>
      </c>
      <c r="Q47" s="4">
        <v>0</v>
      </c>
      <c r="R47" s="4">
        <v>0</v>
      </c>
      <c r="S47"/>
    </row>
    <row r="48" spans="2:19" x14ac:dyDescent="0.25">
      <c r="B48">
        <v>1</v>
      </c>
      <c r="C48" s="2" t="s">
        <v>22</v>
      </c>
      <c r="D48" s="2" t="s">
        <v>176</v>
      </c>
      <c r="E48" s="2" t="s">
        <v>177</v>
      </c>
      <c r="F48" s="2" t="s">
        <v>150</v>
      </c>
      <c r="G48" s="2" t="s">
        <v>14</v>
      </c>
      <c r="H48" s="2" t="s">
        <v>15</v>
      </c>
      <c r="I48" s="21">
        <v>1</v>
      </c>
      <c r="J48" s="1">
        <v>5062</v>
      </c>
      <c r="K48" s="3">
        <v>42795</v>
      </c>
      <c r="L48" s="4">
        <v>240000</v>
      </c>
      <c r="M48" s="2" t="s">
        <v>151</v>
      </c>
      <c r="N48" s="2" t="s">
        <v>152</v>
      </c>
      <c r="O48" s="2" t="s">
        <v>178</v>
      </c>
      <c r="P48" s="4">
        <v>46000</v>
      </c>
      <c r="Q48" s="4">
        <v>0</v>
      </c>
      <c r="R48" s="4">
        <v>0</v>
      </c>
      <c r="S48"/>
    </row>
    <row r="49" spans="2:19" x14ac:dyDescent="0.25">
      <c r="B49">
        <v>1</v>
      </c>
      <c r="C49" s="2" t="s">
        <v>22</v>
      </c>
      <c r="D49" s="2" t="s">
        <v>179</v>
      </c>
      <c r="E49" s="2" t="s">
        <v>180</v>
      </c>
      <c r="F49" s="2" t="s">
        <v>150</v>
      </c>
      <c r="G49" s="2" t="s">
        <v>14</v>
      </c>
      <c r="H49" s="2" t="s">
        <v>15</v>
      </c>
      <c r="I49" s="21">
        <v>1</v>
      </c>
      <c r="J49" s="1">
        <v>5107</v>
      </c>
      <c r="K49" s="3">
        <v>42795</v>
      </c>
      <c r="L49" s="4">
        <v>240000</v>
      </c>
      <c r="M49" s="2" t="s">
        <v>151</v>
      </c>
      <c r="N49" s="2" t="s">
        <v>152</v>
      </c>
      <c r="O49" s="2" t="s">
        <v>181</v>
      </c>
      <c r="P49" s="4">
        <v>46000</v>
      </c>
      <c r="Q49" s="4">
        <v>0</v>
      </c>
      <c r="R49" s="4">
        <v>0</v>
      </c>
      <c r="S49"/>
    </row>
    <row r="50" spans="2:19" x14ac:dyDescent="0.25">
      <c r="B50">
        <v>1</v>
      </c>
      <c r="C50" s="2" t="s">
        <v>22</v>
      </c>
      <c r="D50" s="2" t="s">
        <v>182</v>
      </c>
      <c r="E50" s="2" t="s">
        <v>183</v>
      </c>
      <c r="F50" s="2" t="s">
        <v>150</v>
      </c>
      <c r="G50" s="2" t="s">
        <v>14</v>
      </c>
      <c r="H50" s="2" t="s">
        <v>15</v>
      </c>
      <c r="I50" s="21">
        <v>1</v>
      </c>
      <c r="J50" s="1">
        <v>5676</v>
      </c>
      <c r="K50" s="3">
        <v>42795</v>
      </c>
      <c r="L50" s="4">
        <v>240000</v>
      </c>
      <c r="M50" s="2" t="s">
        <v>151</v>
      </c>
      <c r="N50" s="2" t="s">
        <v>152</v>
      </c>
      <c r="O50" s="2" t="s">
        <v>184</v>
      </c>
      <c r="P50" s="4">
        <v>49000</v>
      </c>
      <c r="Q50" s="4">
        <v>0</v>
      </c>
      <c r="R50" s="4">
        <v>0</v>
      </c>
      <c r="S50"/>
    </row>
    <row r="51" spans="2:19" x14ac:dyDescent="0.25">
      <c r="B51">
        <v>1</v>
      </c>
      <c r="C51" s="2" t="s">
        <v>22</v>
      </c>
      <c r="D51" s="2" t="s">
        <v>186</v>
      </c>
      <c r="E51" s="2" t="s">
        <v>187</v>
      </c>
      <c r="F51" s="2" t="s">
        <v>106</v>
      </c>
      <c r="G51" s="2" t="s">
        <v>14</v>
      </c>
      <c r="H51" s="2" t="s">
        <v>15</v>
      </c>
      <c r="I51" s="21">
        <v>1</v>
      </c>
      <c r="J51" s="1">
        <v>2865</v>
      </c>
      <c r="K51" s="3">
        <v>42807</v>
      </c>
      <c r="L51" s="4">
        <v>175000</v>
      </c>
      <c r="M51" s="2" t="s">
        <v>107</v>
      </c>
      <c r="N51" s="2" t="s">
        <v>188</v>
      </c>
      <c r="O51" s="2" t="s">
        <v>188</v>
      </c>
      <c r="P51" s="4">
        <v>77000</v>
      </c>
      <c r="Q51" s="4">
        <v>0</v>
      </c>
      <c r="R51" s="4">
        <v>0</v>
      </c>
      <c r="S51"/>
    </row>
    <row r="52" spans="2:19" x14ac:dyDescent="0.25">
      <c r="B52">
        <v>1</v>
      </c>
      <c r="C52" s="2" t="s">
        <v>22</v>
      </c>
      <c r="D52" s="2" t="s">
        <v>189</v>
      </c>
      <c r="E52" s="2" t="s">
        <v>190</v>
      </c>
      <c r="F52" s="2" t="s">
        <v>191</v>
      </c>
      <c r="G52" s="2" t="s">
        <v>17</v>
      </c>
      <c r="H52" s="2" t="s">
        <v>18</v>
      </c>
      <c r="I52" s="21">
        <v>1</v>
      </c>
      <c r="J52" s="1">
        <v>10420</v>
      </c>
      <c r="K52" s="3">
        <v>42817</v>
      </c>
      <c r="L52" s="4">
        <v>122500</v>
      </c>
      <c r="M52" s="2" t="s">
        <v>192</v>
      </c>
      <c r="N52" s="2" t="s">
        <v>193</v>
      </c>
      <c r="O52" s="2" t="s">
        <v>193</v>
      </c>
      <c r="P52" s="4">
        <v>80000</v>
      </c>
      <c r="Q52" s="4">
        <v>0</v>
      </c>
      <c r="R52" s="4">
        <v>0</v>
      </c>
      <c r="S52"/>
    </row>
    <row r="53" spans="2:19" x14ac:dyDescent="0.25">
      <c r="B53">
        <v>1</v>
      </c>
      <c r="C53" s="2" t="s">
        <v>22</v>
      </c>
      <c r="D53" s="2" t="s">
        <v>194</v>
      </c>
      <c r="E53" s="2" t="s">
        <v>195</v>
      </c>
      <c r="F53" s="2" t="s">
        <v>23</v>
      </c>
      <c r="G53" s="2" t="s">
        <v>14</v>
      </c>
      <c r="H53" s="2" t="s">
        <v>15</v>
      </c>
      <c r="I53" s="21">
        <v>1</v>
      </c>
      <c r="J53" s="1">
        <v>3715</v>
      </c>
      <c r="K53" s="3">
        <v>42817</v>
      </c>
      <c r="L53" s="4">
        <v>2000000</v>
      </c>
      <c r="M53" s="2" t="s">
        <v>196</v>
      </c>
      <c r="N53" s="2" t="s">
        <v>25</v>
      </c>
      <c r="O53" s="2" t="s">
        <v>197</v>
      </c>
      <c r="P53" s="4">
        <v>19000</v>
      </c>
      <c r="Q53" s="4">
        <v>0</v>
      </c>
      <c r="R53" s="4">
        <v>0</v>
      </c>
      <c r="S53"/>
    </row>
    <row r="54" spans="2:19" x14ac:dyDescent="0.25">
      <c r="B54">
        <v>1</v>
      </c>
      <c r="C54" s="2" t="s">
        <v>22</v>
      </c>
      <c r="D54" s="2" t="s">
        <v>198</v>
      </c>
      <c r="E54" s="2" t="s">
        <v>199</v>
      </c>
      <c r="F54" s="2" t="s">
        <v>23</v>
      </c>
      <c r="G54" s="2" t="s">
        <v>17</v>
      </c>
      <c r="H54" s="2" t="s">
        <v>24</v>
      </c>
      <c r="I54" s="21">
        <v>1</v>
      </c>
      <c r="J54" s="1">
        <v>3938</v>
      </c>
      <c r="K54" s="3">
        <v>42817</v>
      </c>
      <c r="L54" s="4"/>
      <c r="M54" s="2" t="s">
        <v>196</v>
      </c>
      <c r="N54" s="2" t="s">
        <v>25</v>
      </c>
      <c r="O54" s="2" t="s">
        <v>25</v>
      </c>
      <c r="P54" s="4">
        <v>20000</v>
      </c>
      <c r="Q54" s="4">
        <v>0</v>
      </c>
      <c r="R54" s="4">
        <v>0</v>
      </c>
      <c r="S54"/>
    </row>
    <row r="55" spans="2:19" x14ac:dyDescent="0.25">
      <c r="B55">
        <v>1</v>
      </c>
      <c r="C55" s="2" t="s">
        <v>22</v>
      </c>
      <c r="D55" s="2" t="s">
        <v>200</v>
      </c>
      <c r="E55" s="2" t="s">
        <v>201</v>
      </c>
      <c r="F55" s="2" t="s">
        <v>23</v>
      </c>
      <c r="G55" s="2" t="s">
        <v>14</v>
      </c>
      <c r="H55" s="2" t="s">
        <v>15</v>
      </c>
      <c r="I55" s="21">
        <v>1</v>
      </c>
      <c r="J55" s="1">
        <v>3628</v>
      </c>
      <c r="K55" s="3">
        <v>42817</v>
      </c>
      <c r="L55" s="4"/>
      <c r="M55" s="2" t="s">
        <v>196</v>
      </c>
      <c r="N55" s="2" t="s">
        <v>25</v>
      </c>
      <c r="O55" s="2" t="s">
        <v>26</v>
      </c>
      <c r="P55" s="4">
        <v>19000</v>
      </c>
      <c r="Q55" s="4">
        <v>0</v>
      </c>
      <c r="R55" s="4">
        <v>0</v>
      </c>
      <c r="S55"/>
    </row>
    <row r="56" spans="2:19" x14ac:dyDescent="0.25">
      <c r="B56">
        <v>1</v>
      </c>
      <c r="C56" s="2" t="s">
        <v>22</v>
      </c>
      <c r="D56" s="2" t="s">
        <v>20</v>
      </c>
      <c r="E56" s="2" t="s">
        <v>21</v>
      </c>
      <c r="F56" s="2" t="s">
        <v>23</v>
      </c>
      <c r="G56" s="2" t="s">
        <v>17</v>
      </c>
      <c r="H56" s="2" t="s">
        <v>24</v>
      </c>
      <c r="I56" s="21">
        <v>1</v>
      </c>
      <c r="J56" s="1">
        <v>3929</v>
      </c>
      <c r="K56" s="3">
        <v>42817</v>
      </c>
      <c r="L56" s="4"/>
      <c r="M56" s="2" t="s">
        <v>196</v>
      </c>
      <c r="N56" s="2" t="s">
        <v>25</v>
      </c>
      <c r="O56" s="2" t="s">
        <v>26</v>
      </c>
      <c r="P56" s="4">
        <v>20000</v>
      </c>
      <c r="Q56" s="4">
        <v>0</v>
      </c>
      <c r="R56" s="4">
        <v>0</v>
      </c>
      <c r="S56"/>
    </row>
    <row r="57" spans="2:19" x14ac:dyDescent="0.25">
      <c r="B57">
        <v>1</v>
      </c>
      <c r="C57" s="2" t="s">
        <v>22</v>
      </c>
      <c r="D57" s="2" t="s">
        <v>102</v>
      </c>
      <c r="E57" s="2" t="s">
        <v>103</v>
      </c>
      <c r="F57" s="2" t="s">
        <v>23</v>
      </c>
      <c r="G57" s="2" t="s">
        <v>17</v>
      </c>
      <c r="H57" s="2" t="s">
        <v>24</v>
      </c>
      <c r="I57" s="21">
        <v>1</v>
      </c>
      <c r="J57" s="1">
        <v>3962</v>
      </c>
      <c r="K57" s="3">
        <v>42817</v>
      </c>
      <c r="L57" s="4"/>
      <c r="M57" s="2" t="s">
        <v>196</v>
      </c>
      <c r="N57" s="2" t="s">
        <v>25</v>
      </c>
      <c r="O57" s="2" t="s">
        <v>26</v>
      </c>
      <c r="P57" s="4">
        <v>20000</v>
      </c>
      <c r="Q57" s="4">
        <v>0</v>
      </c>
      <c r="R57" s="4">
        <v>0</v>
      </c>
      <c r="S57"/>
    </row>
    <row r="58" spans="2:19" x14ac:dyDescent="0.25">
      <c r="B58">
        <v>1</v>
      </c>
      <c r="C58" s="2" t="s">
        <v>22</v>
      </c>
      <c r="D58" s="2" t="s">
        <v>115</v>
      </c>
      <c r="E58" s="2" t="s">
        <v>116</v>
      </c>
      <c r="F58" s="2" t="s">
        <v>23</v>
      </c>
      <c r="G58" s="2" t="s">
        <v>17</v>
      </c>
      <c r="H58" s="2" t="s">
        <v>24</v>
      </c>
      <c r="I58" s="21">
        <v>1</v>
      </c>
      <c r="J58" s="1">
        <v>4000</v>
      </c>
      <c r="K58" s="3">
        <v>42817</v>
      </c>
      <c r="L58" s="4"/>
      <c r="M58" s="2" t="s">
        <v>196</v>
      </c>
      <c r="N58" s="2" t="s">
        <v>25</v>
      </c>
      <c r="O58" s="2" t="s">
        <v>26</v>
      </c>
      <c r="P58" s="4">
        <v>20000</v>
      </c>
      <c r="Q58" s="4">
        <v>0</v>
      </c>
      <c r="R58" s="4">
        <v>0</v>
      </c>
      <c r="S58"/>
    </row>
    <row r="59" spans="2:19" x14ac:dyDescent="0.25">
      <c r="B59">
        <v>1</v>
      </c>
      <c r="C59" s="2" t="s">
        <v>22</v>
      </c>
      <c r="D59" s="2" t="s">
        <v>117</v>
      </c>
      <c r="E59" s="2" t="s">
        <v>118</v>
      </c>
      <c r="F59" s="2" t="s">
        <v>23</v>
      </c>
      <c r="G59" s="2" t="s">
        <v>17</v>
      </c>
      <c r="H59" s="2" t="s">
        <v>24</v>
      </c>
      <c r="I59" s="21">
        <v>1</v>
      </c>
      <c r="J59" s="1">
        <v>3974</v>
      </c>
      <c r="K59" s="3">
        <v>42817</v>
      </c>
      <c r="L59" s="4"/>
      <c r="M59" s="2" t="s">
        <v>196</v>
      </c>
      <c r="N59" s="2" t="s">
        <v>25</v>
      </c>
      <c r="O59" s="2" t="s">
        <v>26</v>
      </c>
      <c r="P59" s="4">
        <v>20000</v>
      </c>
      <c r="Q59" s="4">
        <v>0</v>
      </c>
      <c r="R59" s="4">
        <v>0</v>
      </c>
      <c r="S59"/>
    </row>
    <row r="60" spans="2:19" x14ac:dyDescent="0.25">
      <c r="B60">
        <v>1</v>
      </c>
      <c r="C60" s="2" t="s">
        <v>22</v>
      </c>
      <c r="D60" s="2" t="s">
        <v>202</v>
      </c>
      <c r="E60" s="2" t="s">
        <v>203</v>
      </c>
      <c r="F60" s="2" t="s">
        <v>23</v>
      </c>
      <c r="G60" s="2" t="s">
        <v>17</v>
      </c>
      <c r="H60" s="2" t="s">
        <v>24</v>
      </c>
      <c r="I60" s="21">
        <v>1</v>
      </c>
      <c r="J60" s="1">
        <v>4244</v>
      </c>
      <c r="K60" s="3">
        <v>42817</v>
      </c>
      <c r="L60" s="4"/>
      <c r="M60" s="2" t="s">
        <v>196</v>
      </c>
      <c r="N60" s="2" t="s">
        <v>25</v>
      </c>
      <c r="O60" s="2" t="s">
        <v>25</v>
      </c>
      <c r="P60" s="4">
        <v>21000</v>
      </c>
      <c r="Q60" s="4">
        <v>0</v>
      </c>
      <c r="R60" s="4">
        <v>0</v>
      </c>
      <c r="S60"/>
    </row>
    <row r="61" spans="2:19" x14ac:dyDescent="0.25">
      <c r="B61">
        <v>1</v>
      </c>
      <c r="C61" s="2" t="s">
        <v>22</v>
      </c>
      <c r="D61" s="2" t="s">
        <v>204</v>
      </c>
      <c r="E61" s="2" t="s">
        <v>205</v>
      </c>
      <c r="F61" s="2" t="s">
        <v>23</v>
      </c>
      <c r="G61" s="2" t="s">
        <v>17</v>
      </c>
      <c r="H61" s="2" t="s">
        <v>24</v>
      </c>
      <c r="I61" s="21">
        <v>1</v>
      </c>
      <c r="J61" s="1">
        <v>4236</v>
      </c>
      <c r="K61" s="3">
        <v>42817</v>
      </c>
      <c r="L61" s="4"/>
      <c r="M61" s="2" t="s">
        <v>196</v>
      </c>
      <c r="N61" s="2" t="s">
        <v>25</v>
      </c>
      <c r="O61" s="2" t="s">
        <v>25</v>
      </c>
      <c r="P61" s="4">
        <v>21000</v>
      </c>
      <c r="Q61" s="4">
        <v>0</v>
      </c>
      <c r="R61" s="4">
        <v>0</v>
      </c>
      <c r="S61"/>
    </row>
    <row r="62" spans="2:19" x14ac:dyDescent="0.25">
      <c r="B62">
        <v>1</v>
      </c>
      <c r="C62" s="2" t="s">
        <v>22</v>
      </c>
      <c r="D62" s="2" t="s">
        <v>206</v>
      </c>
      <c r="E62" s="2" t="s">
        <v>207</v>
      </c>
      <c r="F62" s="2" t="s">
        <v>23</v>
      </c>
      <c r="G62" s="2" t="s">
        <v>17</v>
      </c>
      <c r="H62" s="2" t="s">
        <v>24</v>
      </c>
      <c r="I62" s="21">
        <v>1</v>
      </c>
      <c r="J62" s="1">
        <v>4213</v>
      </c>
      <c r="K62" s="3">
        <v>42817</v>
      </c>
      <c r="L62" s="4"/>
      <c r="M62" s="2" t="s">
        <v>196</v>
      </c>
      <c r="N62" s="2" t="s">
        <v>25</v>
      </c>
      <c r="O62" s="2" t="s">
        <v>25</v>
      </c>
      <c r="P62" s="4">
        <v>20000</v>
      </c>
      <c r="Q62" s="4">
        <v>0</v>
      </c>
      <c r="R62" s="4">
        <v>0</v>
      </c>
      <c r="S62"/>
    </row>
    <row r="63" spans="2:19" x14ac:dyDescent="0.25">
      <c r="B63">
        <v>1</v>
      </c>
      <c r="C63" s="2" t="s">
        <v>22</v>
      </c>
      <c r="D63" s="2" t="s">
        <v>208</v>
      </c>
      <c r="E63" s="2" t="s">
        <v>209</v>
      </c>
      <c r="F63" s="2" t="s">
        <v>23</v>
      </c>
      <c r="G63" s="2" t="s">
        <v>17</v>
      </c>
      <c r="H63" s="2" t="s">
        <v>24</v>
      </c>
      <c r="I63" s="21">
        <v>1</v>
      </c>
      <c r="J63" s="1">
        <v>4186</v>
      </c>
      <c r="K63" s="3">
        <v>42817</v>
      </c>
      <c r="L63" s="4"/>
      <c r="M63" s="2" t="s">
        <v>196</v>
      </c>
      <c r="N63" s="2" t="s">
        <v>25</v>
      </c>
      <c r="O63" s="2" t="s">
        <v>25</v>
      </c>
      <c r="P63" s="4">
        <v>20000</v>
      </c>
      <c r="Q63" s="4">
        <v>0</v>
      </c>
      <c r="R63" s="4">
        <v>0</v>
      </c>
      <c r="S63"/>
    </row>
    <row r="64" spans="2:19" x14ac:dyDescent="0.25">
      <c r="B64">
        <v>1</v>
      </c>
      <c r="C64" s="2" t="s">
        <v>22</v>
      </c>
      <c r="D64" s="2" t="s">
        <v>210</v>
      </c>
      <c r="E64" s="2" t="s">
        <v>211</v>
      </c>
      <c r="F64" s="2" t="s">
        <v>23</v>
      </c>
      <c r="G64" s="2" t="s">
        <v>14</v>
      </c>
      <c r="H64" s="2" t="s">
        <v>15</v>
      </c>
      <c r="I64" s="21">
        <v>1</v>
      </c>
      <c r="J64" s="1">
        <v>3832</v>
      </c>
      <c r="K64" s="3">
        <v>42817</v>
      </c>
      <c r="L64" s="4"/>
      <c r="M64" s="2" t="s">
        <v>196</v>
      </c>
      <c r="N64" s="2" t="s">
        <v>25</v>
      </c>
      <c r="O64" s="2" t="s">
        <v>26</v>
      </c>
      <c r="P64" s="4">
        <v>20000</v>
      </c>
      <c r="Q64" s="4">
        <v>0</v>
      </c>
      <c r="R64" s="4">
        <v>0</v>
      </c>
      <c r="S64"/>
    </row>
    <row r="65" spans="2:19" x14ac:dyDescent="0.25">
      <c r="B65">
        <v>1</v>
      </c>
      <c r="C65" s="2" t="s">
        <v>22</v>
      </c>
      <c r="D65" s="2" t="s">
        <v>212</v>
      </c>
      <c r="E65" s="2" t="s">
        <v>213</v>
      </c>
      <c r="F65" s="2" t="s">
        <v>23</v>
      </c>
      <c r="G65" s="2" t="s">
        <v>17</v>
      </c>
      <c r="H65" s="2" t="s">
        <v>24</v>
      </c>
      <c r="I65" s="21">
        <v>1</v>
      </c>
      <c r="J65" s="1">
        <v>3952</v>
      </c>
      <c r="K65" s="3">
        <v>42817</v>
      </c>
      <c r="L65" s="4"/>
      <c r="M65" s="2" t="s">
        <v>196</v>
      </c>
      <c r="N65" s="2" t="s">
        <v>25</v>
      </c>
      <c r="O65" s="2" t="s">
        <v>25</v>
      </c>
      <c r="P65" s="4">
        <v>20000</v>
      </c>
      <c r="Q65" s="4">
        <v>0</v>
      </c>
      <c r="R65" s="4">
        <v>0</v>
      </c>
      <c r="S65"/>
    </row>
    <row r="66" spans="2:19" x14ac:dyDescent="0.25">
      <c r="B66">
        <v>1</v>
      </c>
      <c r="C66" s="2" t="s">
        <v>22</v>
      </c>
      <c r="D66" s="2" t="s">
        <v>214</v>
      </c>
      <c r="E66" s="2" t="s">
        <v>215</v>
      </c>
      <c r="F66" s="2" t="s">
        <v>23</v>
      </c>
      <c r="G66" s="2" t="s">
        <v>17</v>
      </c>
      <c r="H66" s="2" t="s">
        <v>24</v>
      </c>
      <c r="I66" s="21">
        <v>1</v>
      </c>
      <c r="J66" s="1">
        <v>4466</v>
      </c>
      <c r="K66" s="3">
        <v>42817</v>
      </c>
      <c r="L66" s="4"/>
      <c r="M66" s="2" t="s">
        <v>196</v>
      </c>
      <c r="N66" s="2" t="s">
        <v>25</v>
      </c>
      <c r="O66" s="2" t="s">
        <v>25</v>
      </c>
      <c r="P66" s="4">
        <v>21000</v>
      </c>
      <c r="Q66" s="4">
        <v>0</v>
      </c>
      <c r="R66" s="4">
        <v>0</v>
      </c>
      <c r="S66"/>
    </row>
    <row r="67" spans="2:19" x14ac:dyDescent="0.25">
      <c r="B67">
        <v>1</v>
      </c>
      <c r="C67" s="2" t="s">
        <v>22</v>
      </c>
      <c r="D67" s="2" t="s">
        <v>216</v>
      </c>
      <c r="E67" s="2" t="s">
        <v>217</v>
      </c>
      <c r="F67" s="2" t="s">
        <v>23</v>
      </c>
      <c r="G67" s="2" t="s">
        <v>17</v>
      </c>
      <c r="H67" s="2" t="s">
        <v>24</v>
      </c>
      <c r="I67" s="21">
        <v>1</v>
      </c>
      <c r="J67" s="1">
        <v>4455</v>
      </c>
      <c r="K67" s="3">
        <v>42817</v>
      </c>
      <c r="L67" s="4"/>
      <c r="M67" s="2" t="s">
        <v>196</v>
      </c>
      <c r="N67" s="2" t="s">
        <v>25</v>
      </c>
      <c r="O67" s="2" t="s">
        <v>25</v>
      </c>
      <c r="P67" s="4">
        <v>21000</v>
      </c>
      <c r="Q67" s="4">
        <v>0</v>
      </c>
      <c r="R67" s="4">
        <v>0</v>
      </c>
      <c r="S67"/>
    </row>
    <row r="68" spans="2:19" x14ac:dyDescent="0.25">
      <c r="B68">
        <v>1</v>
      </c>
      <c r="C68" s="2" t="s">
        <v>22</v>
      </c>
      <c r="D68" s="2" t="s">
        <v>218</v>
      </c>
      <c r="E68" s="2" t="s">
        <v>219</v>
      </c>
      <c r="F68" s="2" t="s">
        <v>23</v>
      </c>
      <c r="G68" s="2" t="s">
        <v>17</v>
      </c>
      <c r="H68" s="2" t="s">
        <v>24</v>
      </c>
      <c r="I68" s="21">
        <v>1</v>
      </c>
      <c r="J68" s="1">
        <v>4449</v>
      </c>
      <c r="K68" s="3">
        <v>42817</v>
      </c>
      <c r="L68" s="4"/>
      <c r="M68" s="2" t="s">
        <v>196</v>
      </c>
      <c r="N68" s="2" t="s">
        <v>25</v>
      </c>
      <c r="O68" s="2" t="s">
        <v>25</v>
      </c>
      <c r="P68" s="4">
        <v>21000</v>
      </c>
      <c r="Q68" s="4">
        <v>0</v>
      </c>
      <c r="R68" s="4">
        <v>0</v>
      </c>
      <c r="S68"/>
    </row>
    <row r="69" spans="2:19" x14ac:dyDescent="0.25">
      <c r="B69">
        <v>1</v>
      </c>
      <c r="C69" s="2" t="s">
        <v>22</v>
      </c>
      <c r="D69" s="2" t="s">
        <v>220</v>
      </c>
      <c r="E69" s="2" t="s">
        <v>221</v>
      </c>
      <c r="F69" s="2" t="s">
        <v>23</v>
      </c>
      <c r="G69" s="2" t="s">
        <v>17</v>
      </c>
      <c r="H69" s="2" t="s">
        <v>24</v>
      </c>
      <c r="I69" s="21">
        <v>1</v>
      </c>
      <c r="J69" s="1">
        <v>4385</v>
      </c>
      <c r="K69" s="3">
        <v>42817</v>
      </c>
      <c r="L69" s="4"/>
      <c r="M69" s="2" t="s">
        <v>196</v>
      </c>
      <c r="N69" s="2" t="s">
        <v>25</v>
      </c>
      <c r="O69" s="2" t="s">
        <v>25</v>
      </c>
      <c r="P69" s="4">
        <v>21000</v>
      </c>
      <c r="Q69" s="4">
        <v>0</v>
      </c>
      <c r="R69" s="4">
        <v>0</v>
      </c>
      <c r="S69"/>
    </row>
    <row r="70" spans="2:19" x14ac:dyDescent="0.25">
      <c r="B70">
        <v>1</v>
      </c>
      <c r="C70" s="2" t="s">
        <v>22</v>
      </c>
      <c r="D70" s="2" t="s">
        <v>222</v>
      </c>
      <c r="E70" s="2" t="s">
        <v>223</v>
      </c>
      <c r="F70" s="2" t="s">
        <v>23</v>
      </c>
      <c r="G70" s="2" t="s">
        <v>17</v>
      </c>
      <c r="H70" s="2" t="s">
        <v>24</v>
      </c>
      <c r="I70" s="21">
        <v>1</v>
      </c>
      <c r="J70" s="1">
        <v>3979</v>
      </c>
      <c r="K70" s="3">
        <v>42817</v>
      </c>
      <c r="L70" s="4"/>
      <c r="M70" s="2" t="s">
        <v>196</v>
      </c>
      <c r="N70" s="2" t="s">
        <v>25</v>
      </c>
      <c r="O70" s="2" t="s">
        <v>25</v>
      </c>
      <c r="P70" s="4">
        <v>20000</v>
      </c>
      <c r="Q70" s="4">
        <v>0</v>
      </c>
      <c r="R70" s="4">
        <v>0</v>
      </c>
      <c r="S70"/>
    </row>
    <row r="71" spans="2:19" x14ac:dyDescent="0.25">
      <c r="B71">
        <v>1</v>
      </c>
      <c r="C71" s="2" t="s">
        <v>22</v>
      </c>
      <c r="D71" s="2" t="s">
        <v>224</v>
      </c>
      <c r="E71" s="2" t="s">
        <v>225</v>
      </c>
      <c r="F71" s="2" t="s">
        <v>23</v>
      </c>
      <c r="G71" s="2" t="s">
        <v>17</v>
      </c>
      <c r="H71" s="2" t="s">
        <v>24</v>
      </c>
      <c r="I71" s="21">
        <v>1</v>
      </c>
      <c r="J71" s="1">
        <v>3984</v>
      </c>
      <c r="K71" s="3">
        <v>42817</v>
      </c>
      <c r="L71" s="4"/>
      <c r="M71" s="2" t="s">
        <v>196</v>
      </c>
      <c r="N71" s="2" t="s">
        <v>25</v>
      </c>
      <c r="O71" s="2" t="s">
        <v>25</v>
      </c>
      <c r="P71" s="4">
        <v>20000</v>
      </c>
      <c r="Q71" s="4">
        <v>0</v>
      </c>
      <c r="R71" s="4">
        <v>0</v>
      </c>
      <c r="S71"/>
    </row>
    <row r="72" spans="2:19" x14ac:dyDescent="0.25">
      <c r="B72">
        <v>1</v>
      </c>
      <c r="C72" s="2" t="s">
        <v>22</v>
      </c>
      <c r="D72" s="2" t="s">
        <v>226</v>
      </c>
      <c r="E72" s="2" t="s">
        <v>227</v>
      </c>
      <c r="F72" s="2" t="s">
        <v>23</v>
      </c>
      <c r="G72" s="2" t="s">
        <v>17</v>
      </c>
      <c r="H72" s="2" t="s">
        <v>24</v>
      </c>
      <c r="I72" s="21">
        <v>1</v>
      </c>
      <c r="J72" s="1">
        <v>3960</v>
      </c>
      <c r="K72" s="3">
        <v>42817</v>
      </c>
      <c r="L72" s="4"/>
      <c r="M72" s="2" t="s">
        <v>196</v>
      </c>
      <c r="N72" s="2" t="s">
        <v>25</v>
      </c>
      <c r="O72" s="2" t="s">
        <v>25</v>
      </c>
      <c r="P72" s="4">
        <v>20000</v>
      </c>
      <c r="Q72" s="4">
        <v>0</v>
      </c>
      <c r="R72" s="4">
        <v>0</v>
      </c>
      <c r="S72"/>
    </row>
    <row r="73" spans="2:19" x14ac:dyDescent="0.25">
      <c r="B73">
        <v>1</v>
      </c>
      <c r="C73" s="2" t="s">
        <v>22</v>
      </c>
      <c r="D73" s="2" t="s">
        <v>228</v>
      </c>
      <c r="E73" s="2" t="s">
        <v>229</v>
      </c>
      <c r="F73" s="2" t="s">
        <v>23</v>
      </c>
      <c r="G73" s="2" t="s">
        <v>17</v>
      </c>
      <c r="H73" s="2" t="s">
        <v>24</v>
      </c>
      <c r="I73" s="21">
        <v>1</v>
      </c>
      <c r="J73" s="1">
        <v>3898</v>
      </c>
      <c r="K73" s="3">
        <v>42817</v>
      </c>
      <c r="L73" s="4"/>
      <c r="M73" s="2" t="s">
        <v>196</v>
      </c>
      <c r="N73" s="2" t="s">
        <v>25</v>
      </c>
      <c r="O73" s="2" t="s">
        <v>25</v>
      </c>
      <c r="P73" s="4">
        <v>20000</v>
      </c>
      <c r="Q73" s="4">
        <v>0</v>
      </c>
      <c r="R73" s="4">
        <v>0</v>
      </c>
      <c r="S73"/>
    </row>
    <row r="74" spans="2:19" x14ac:dyDescent="0.25">
      <c r="B74">
        <v>1</v>
      </c>
      <c r="C74" s="2" t="s">
        <v>22</v>
      </c>
      <c r="D74" s="2" t="s">
        <v>230</v>
      </c>
      <c r="E74" s="2" t="s">
        <v>231</v>
      </c>
      <c r="F74" s="2" t="s">
        <v>23</v>
      </c>
      <c r="G74" s="2" t="s">
        <v>17</v>
      </c>
      <c r="H74" s="2" t="s">
        <v>24</v>
      </c>
      <c r="I74" s="21">
        <v>1</v>
      </c>
      <c r="J74" s="1">
        <v>3591</v>
      </c>
      <c r="K74" s="3">
        <v>42817</v>
      </c>
      <c r="L74" s="4"/>
      <c r="M74" s="2" t="s">
        <v>196</v>
      </c>
      <c r="N74" s="2" t="s">
        <v>25</v>
      </c>
      <c r="O74" s="2" t="s">
        <v>25</v>
      </c>
      <c r="P74" s="4">
        <v>19000</v>
      </c>
      <c r="Q74" s="4">
        <v>0</v>
      </c>
      <c r="R74" s="4">
        <v>0</v>
      </c>
      <c r="S74"/>
    </row>
    <row r="75" spans="2:19" x14ac:dyDescent="0.25">
      <c r="B75">
        <v>1</v>
      </c>
      <c r="C75" s="2" t="s">
        <v>22</v>
      </c>
      <c r="D75" s="2" t="s">
        <v>232</v>
      </c>
      <c r="E75" s="2" t="s">
        <v>233</v>
      </c>
      <c r="F75" s="2" t="s">
        <v>23</v>
      </c>
      <c r="G75" s="2" t="s">
        <v>17</v>
      </c>
      <c r="H75" s="2" t="s">
        <v>24</v>
      </c>
      <c r="I75" s="21">
        <v>1</v>
      </c>
      <c r="J75" s="1">
        <v>6634</v>
      </c>
      <c r="K75" s="3">
        <v>42817</v>
      </c>
      <c r="L75" s="4"/>
      <c r="M75" s="2" t="s">
        <v>196</v>
      </c>
      <c r="N75" s="2" t="s">
        <v>25</v>
      </c>
      <c r="O75" s="2" t="s">
        <v>25</v>
      </c>
      <c r="P75" s="4">
        <v>26000</v>
      </c>
      <c r="Q75" s="4">
        <v>0</v>
      </c>
      <c r="R75" s="4">
        <v>0</v>
      </c>
      <c r="S75"/>
    </row>
    <row r="76" spans="2:19" x14ac:dyDescent="0.25">
      <c r="B76">
        <v>1</v>
      </c>
      <c r="C76" s="2" t="s">
        <v>22</v>
      </c>
      <c r="D76" s="2" t="s">
        <v>234</v>
      </c>
      <c r="E76" s="2" t="s">
        <v>235</v>
      </c>
      <c r="F76" s="2" t="s">
        <v>23</v>
      </c>
      <c r="G76" s="2" t="s">
        <v>17</v>
      </c>
      <c r="H76" s="2" t="s">
        <v>24</v>
      </c>
      <c r="I76" s="21">
        <v>1</v>
      </c>
      <c r="J76" s="1">
        <v>6638</v>
      </c>
      <c r="K76" s="3">
        <v>42817</v>
      </c>
      <c r="L76" s="4"/>
      <c r="M76" s="2" t="s">
        <v>196</v>
      </c>
      <c r="N76" s="2" t="s">
        <v>25</v>
      </c>
      <c r="O76" s="2" t="s">
        <v>25</v>
      </c>
      <c r="P76" s="4">
        <v>26000</v>
      </c>
      <c r="Q76" s="4">
        <v>0</v>
      </c>
      <c r="R76" s="4">
        <v>0</v>
      </c>
      <c r="S76"/>
    </row>
    <row r="77" spans="2:19" x14ac:dyDescent="0.25">
      <c r="B77">
        <v>1</v>
      </c>
      <c r="C77" s="2" t="s">
        <v>22</v>
      </c>
      <c r="D77" s="2" t="s">
        <v>236</v>
      </c>
      <c r="E77" s="2" t="s">
        <v>237</v>
      </c>
      <c r="F77" s="2" t="s">
        <v>23</v>
      </c>
      <c r="G77" s="2" t="s">
        <v>17</v>
      </c>
      <c r="H77" s="2" t="s">
        <v>24</v>
      </c>
      <c r="I77" s="21">
        <v>1</v>
      </c>
      <c r="J77" s="1">
        <v>6633</v>
      </c>
      <c r="K77" s="3">
        <v>42817</v>
      </c>
      <c r="L77" s="4"/>
      <c r="M77" s="2" t="s">
        <v>196</v>
      </c>
      <c r="N77" s="2" t="s">
        <v>25</v>
      </c>
      <c r="O77" s="2" t="s">
        <v>25</v>
      </c>
      <c r="P77" s="4">
        <v>26000</v>
      </c>
      <c r="Q77" s="4">
        <v>0</v>
      </c>
      <c r="R77" s="4">
        <v>0</v>
      </c>
      <c r="S77"/>
    </row>
    <row r="78" spans="2:19" x14ac:dyDescent="0.25">
      <c r="B78">
        <v>1</v>
      </c>
      <c r="C78" s="2" t="s">
        <v>22</v>
      </c>
      <c r="D78" s="2" t="s">
        <v>238</v>
      </c>
      <c r="E78" s="2" t="s">
        <v>239</v>
      </c>
      <c r="F78" s="2" t="s">
        <v>23</v>
      </c>
      <c r="G78" s="2" t="s">
        <v>17</v>
      </c>
      <c r="H78" s="2" t="s">
        <v>24</v>
      </c>
      <c r="I78" s="21">
        <v>1</v>
      </c>
      <c r="J78" s="1">
        <v>6777</v>
      </c>
      <c r="K78" s="3">
        <v>42817</v>
      </c>
      <c r="L78" s="4"/>
      <c r="M78" s="2" t="s">
        <v>196</v>
      </c>
      <c r="N78" s="2" t="s">
        <v>25</v>
      </c>
      <c r="O78" s="2" t="s">
        <v>25</v>
      </c>
      <c r="P78" s="4">
        <v>26000</v>
      </c>
      <c r="Q78" s="4">
        <v>0</v>
      </c>
      <c r="R78" s="4">
        <v>0</v>
      </c>
      <c r="S78"/>
    </row>
    <row r="79" spans="2:19" x14ac:dyDescent="0.25">
      <c r="B79">
        <v>1</v>
      </c>
      <c r="C79" s="2" t="s">
        <v>22</v>
      </c>
      <c r="D79" s="2" t="s">
        <v>240</v>
      </c>
      <c r="E79" s="2" t="s">
        <v>241</v>
      </c>
      <c r="F79" s="2" t="s">
        <v>23</v>
      </c>
      <c r="G79" s="2" t="s">
        <v>17</v>
      </c>
      <c r="H79" s="2" t="s">
        <v>24</v>
      </c>
      <c r="I79" s="21">
        <v>1</v>
      </c>
      <c r="J79" s="1">
        <v>7813</v>
      </c>
      <c r="K79" s="3">
        <v>42817</v>
      </c>
      <c r="L79" s="4"/>
      <c r="M79" s="2" t="s">
        <v>196</v>
      </c>
      <c r="N79" s="2" t="s">
        <v>25</v>
      </c>
      <c r="O79" s="2" t="s">
        <v>25</v>
      </c>
      <c r="P79" s="4">
        <v>28000</v>
      </c>
      <c r="Q79" s="4">
        <v>0</v>
      </c>
      <c r="R79" s="4">
        <v>0</v>
      </c>
      <c r="S79"/>
    </row>
    <row r="80" spans="2:19" x14ac:dyDescent="0.25">
      <c r="B80">
        <v>1</v>
      </c>
      <c r="C80" s="2" t="s">
        <v>22</v>
      </c>
      <c r="D80" s="2" t="s">
        <v>242</v>
      </c>
      <c r="E80" s="2" t="s">
        <v>243</v>
      </c>
      <c r="F80" s="2" t="s">
        <v>23</v>
      </c>
      <c r="G80" s="2" t="s">
        <v>17</v>
      </c>
      <c r="H80" s="2" t="s">
        <v>24</v>
      </c>
      <c r="I80" s="21">
        <v>1</v>
      </c>
      <c r="J80" s="1">
        <v>7287</v>
      </c>
      <c r="K80" s="3">
        <v>42817</v>
      </c>
      <c r="L80" s="4"/>
      <c r="M80" s="2" t="s">
        <v>196</v>
      </c>
      <c r="N80" s="2" t="s">
        <v>25</v>
      </c>
      <c r="O80" s="2" t="s">
        <v>25</v>
      </c>
      <c r="P80" s="4">
        <v>27000</v>
      </c>
      <c r="Q80" s="4">
        <v>0</v>
      </c>
      <c r="R80" s="4">
        <v>0</v>
      </c>
      <c r="S80"/>
    </row>
    <row r="81" spans="2:19" x14ac:dyDescent="0.25">
      <c r="B81">
        <v>1</v>
      </c>
      <c r="C81" s="2" t="s">
        <v>22</v>
      </c>
      <c r="D81" s="2" t="s">
        <v>244</v>
      </c>
      <c r="E81" s="2" t="s">
        <v>245</v>
      </c>
      <c r="F81" s="2" t="s">
        <v>246</v>
      </c>
      <c r="G81" s="2" t="s">
        <v>17</v>
      </c>
      <c r="H81" s="2" t="s">
        <v>18</v>
      </c>
      <c r="I81" s="21">
        <v>1</v>
      </c>
      <c r="J81" s="1">
        <v>6625</v>
      </c>
      <c r="K81" s="3">
        <v>42817</v>
      </c>
      <c r="L81" s="4"/>
      <c r="M81" s="2" t="s">
        <v>196</v>
      </c>
      <c r="N81" s="2" t="s">
        <v>25</v>
      </c>
      <c r="O81" s="2" t="s">
        <v>25</v>
      </c>
      <c r="P81" s="4">
        <v>57000</v>
      </c>
      <c r="Q81" s="4">
        <v>0</v>
      </c>
      <c r="R81" s="4">
        <v>0</v>
      </c>
      <c r="S81"/>
    </row>
    <row r="82" spans="2:19" x14ac:dyDescent="0.25">
      <c r="B82">
        <v>1</v>
      </c>
      <c r="C82" s="2" t="s">
        <v>22</v>
      </c>
      <c r="D82" s="2" t="s">
        <v>247</v>
      </c>
      <c r="E82" s="2" t="s">
        <v>248</v>
      </c>
      <c r="F82" s="2" t="s">
        <v>246</v>
      </c>
      <c r="G82" s="2" t="s">
        <v>17</v>
      </c>
      <c r="H82" s="2" t="s">
        <v>18</v>
      </c>
      <c r="I82" s="21">
        <v>4</v>
      </c>
      <c r="J82" s="1">
        <v>26477</v>
      </c>
      <c r="K82" s="3">
        <v>42817</v>
      </c>
      <c r="L82" s="4"/>
      <c r="M82" s="2" t="s">
        <v>196</v>
      </c>
      <c r="N82" s="2" t="s">
        <v>25</v>
      </c>
      <c r="O82" s="2" t="s">
        <v>25</v>
      </c>
      <c r="P82" s="4">
        <v>120000</v>
      </c>
      <c r="Q82" s="4">
        <v>0</v>
      </c>
      <c r="R82" s="4">
        <v>0</v>
      </c>
      <c r="S82"/>
    </row>
    <row r="83" spans="2:19" x14ac:dyDescent="0.25">
      <c r="B83">
        <v>1</v>
      </c>
      <c r="C83" s="2" t="s">
        <v>22</v>
      </c>
      <c r="D83" s="2" t="s">
        <v>251</v>
      </c>
      <c r="E83" s="2" t="s">
        <v>252</v>
      </c>
      <c r="F83" s="2" t="s">
        <v>253</v>
      </c>
      <c r="G83" s="2" t="s">
        <v>14</v>
      </c>
      <c r="H83" s="2" t="s">
        <v>15</v>
      </c>
      <c r="I83" s="21">
        <v>1</v>
      </c>
      <c r="J83" s="1">
        <v>6296</v>
      </c>
      <c r="K83" s="3">
        <v>42852</v>
      </c>
      <c r="L83" s="4">
        <v>473100</v>
      </c>
      <c r="M83" s="2" t="s">
        <v>30</v>
      </c>
      <c r="N83" s="2" t="s">
        <v>254</v>
      </c>
      <c r="O83" s="2" t="s">
        <v>255</v>
      </c>
      <c r="P83" s="4">
        <v>31000</v>
      </c>
      <c r="Q83" s="4">
        <v>0</v>
      </c>
      <c r="R83" s="4">
        <v>0</v>
      </c>
      <c r="S83"/>
    </row>
    <row r="84" spans="2:19" x14ac:dyDescent="0.25">
      <c r="B84">
        <v>1</v>
      </c>
      <c r="C84" s="2" t="s">
        <v>22</v>
      </c>
      <c r="D84" s="2" t="s">
        <v>256</v>
      </c>
      <c r="E84" s="2" t="s">
        <v>257</v>
      </c>
      <c r="F84" s="2" t="s">
        <v>150</v>
      </c>
      <c r="G84" s="2" t="s">
        <v>14</v>
      </c>
      <c r="H84" s="2" t="s">
        <v>15</v>
      </c>
      <c r="I84" s="21">
        <v>1</v>
      </c>
      <c r="J84" s="1">
        <v>6917</v>
      </c>
      <c r="K84" s="3">
        <v>42856</v>
      </c>
      <c r="L84" s="4">
        <v>160000</v>
      </c>
      <c r="M84" s="2" t="s">
        <v>151</v>
      </c>
      <c r="N84" s="2" t="s">
        <v>152</v>
      </c>
      <c r="O84" s="2" t="s">
        <v>258</v>
      </c>
      <c r="P84" s="4">
        <v>53000</v>
      </c>
      <c r="Q84" s="4">
        <v>0</v>
      </c>
      <c r="R84" s="4">
        <v>0</v>
      </c>
      <c r="S84"/>
    </row>
    <row r="85" spans="2:19" x14ac:dyDescent="0.25">
      <c r="B85">
        <v>1</v>
      </c>
      <c r="C85" s="2" t="s">
        <v>22</v>
      </c>
      <c r="D85" s="2" t="s">
        <v>259</v>
      </c>
      <c r="E85" s="2" t="s">
        <v>260</v>
      </c>
      <c r="F85" s="2" t="s">
        <v>150</v>
      </c>
      <c r="G85" s="2" t="s">
        <v>14</v>
      </c>
      <c r="H85" s="2" t="s">
        <v>15</v>
      </c>
      <c r="I85" s="21">
        <v>1</v>
      </c>
      <c r="J85" s="1">
        <v>4971</v>
      </c>
      <c r="K85" s="3">
        <v>42856</v>
      </c>
      <c r="L85" s="4">
        <v>160000</v>
      </c>
      <c r="M85" s="2" t="s">
        <v>151</v>
      </c>
      <c r="N85" s="2" t="s">
        <v>152</v>
      </c>
      <c r="O85" s="2" t="s">
        <v>261</v>
      </c>
      <c r="P85" s="4">
        <v>46000</v>
      </c>
      <c r="Q85" s="4">
        <v>0</v>
      </c>
      <c r="R85" s="4">
        <v>0</v>
      </c>
      <c r="S85"/>
    </row>
    <row r="86" spans="2:19" x14ac:dyDescent="0.25">
      <c r="B86">
        <v>1</v>
      </c>
      <c r="C86" s="2" t="s">
        <v>22</v>
      </c>
      <c r="D86" s="2" t="s">
        <v>262</v>
      </c>
      <c r="E86" s="2" t="s">
        <v>263</v>
      </c>
      <c r="F86" s="2" t="s">
        <v>150</v>
      </c>
      <c r="G86" s="2" t="s">
        <v>14</v>
      </c>
      <c r="H86" s="2" t="s">
        <v>15</v>
      </c>
      <c r="I86" s="21">
        <v>1</v>
      </c>
      <c r="J86" s="1">
        <v>4970</v>
      </c>
      <c r="K86" s="3">
        <v>42865</v>
      </c>
      <c r="L86" s="4">
        <v>80000</v>
      </c>
      <c r="M86" s="2" t="s">
        <v>151</v>
      </c>
      <c r="N86" s="2" t="s">
        <v>264</v>
      </c>
      <c r="O86" s="2" t="s">
        <v>265</v>
      </c>
      <c r="P86" s="4">
        <v>46000</v>
      </c>
      <c r="Q86" s="4">
        <v>0</v>
      </c>
      <c r="R86" s="4">
        <v>0</v>
      </c>
      <c r="S86"/>
    </row>
    <row r="87" spans="2:19" x14ac:dyDescent="0.25">
      <c r="B87">
        <v>1</v>
      </c>
      <c r="C87" s="2" t="s">
        <v>22</v>
      </c>
      <c r="D87" s="2" t="s">
        <v>266</v>
      </c>
      <c r="E87" s="2" t="s">
        <v>267</v>
      </c>
      <c r="F87" s="2" t="s">
        <v>268</v>
      </c>
      <c r="G87" s="2" t="s">
        <v>14</v>
      </c>
      <c r="H87" s="2" t="s">
        <v>15</v>
      </c>
      <c r="I87" s="21">
        <v>1</v>
      </c>
      <c r="J87" s="1">
        <v>16500</v>
      </c>
      <c r="K87" s="3">
        <v>42873</v>
      </c>
      <c r="L87" s="4">
        <v>1543000</v>
      </c>
      <c r="M87" s="2" t="s">
        <v>269</v>
      </c>
      <c r="N87" s="2" t="s">
        <v>270</v>
      </c>
      <c r="O87" s="2" t="s">
        <v>271</v>
      </c>
      <c r="P87" s="4">
        <v>57000</v>
      </c>
      <c r="Q87" s="4">
        <v>0</v>
      </c>
      <c r="R87" s="4">
        <v>0</v>
      </c>
      <c r="S87"/>
    </row>
    <row r="88" spans="2:19" x14ac:dyDescent="0.25">
      <c r="B88">
        <v>1</v>
      </c>
      <c r="C88" s="2" t="s">
        <v>22</v>
      </c>
      <c r="D88" s="2" t="s">
        <v>272</v>
      </c>
      <c r="E88" s="2" t="s">
        <v>273</v>
      </c>
      <c r="F88" s="2" t="s">
        <v>268</v>
      </c>
      <c r="G88" s="2" t="s">
        <v>14</v>
      </c>
      <c r="H88" s="2" t="s">
        <v>15</v>
      </c>
      <c r="I88" s="21">
        <v>1</v>
      </c>
      <c r="J88" s="1">
        <v>16070</v>
      </c>
      <c r="K88" s="3">
        <v>42877</v>
      </c>
      <c r="L88" s="4">
        <v>250000</v>
      </c>
      <c r="M88" s="2" t="s">
        <v>270</v>
      </c>
      <c r="N88" s="2" t="s">
        <v>274</v>
      </c>
      <c r="O88" s="2" t="s">
        <v>274</v>
      </c>
      <c r="P88" s="4">
        <v>56000</v>
      </c>
      <c r="Q88" s="4">
        <v>0</v>
      </c>
      <c r="R88" s="4">
        <v>0</v>
      </c>
      <c r="S88"/>
    </row>
    <row r="89" spans="2:19" x14ac:dyDescent="0.25">
      <c r="B89">
        <v>1</v>
      </c>
      <c r="C89" s="2" t="s">
        <v>22</v>
      </c>
      <c r="D89" s="2" t="s">
        <v>275</v>
      </c>
      <c r="E89" s="2" t="s">
        <v>276</v>
      </c>
      <c r="F89" s="2" t="s">
        <v>253</v>
      </c>
      <c r="G89" s="2" t="s">
        <v>14</v>
      </c>
      <c r="H89" s="2" t="s">
        <v>15</v>
      </c>
      <c r="I89" s="21">
        <v>1</v>
      </c>
      <c r="J89" s="1">
        <v>6803</v>
      </c>
      <c r="K89" s="3">
        <v>42880</v>
      </c>
      <c r="L89" s="4">
        <v>539900</v>
      </c>
      <c r="M89" s="2" t="s">
        <v>30</v>
      </c>
      <c r="N89" s="2" t="s">
        <v>277</v>
      </c>
      <c r="O89" s="2" t="s">
        <v>277</v>
      </c>
      <c r="P89" s="4">
        <v>32000</v>
      </c>
      <c r="Q89" s="4">
        <v>0</v>
      </c>
      <c r="R89" s="4">
        <v>0</v>
      </c>
      <c r="S89"/>
    </row>
    <row r="90" spans="2:19" x14ac:dyDescent="0.25">
      <c r="B90">
        <v>1</v>
      </c>
      <c r="C90" s="2" t="s">
        <v>22</v>
      </c>
      <c r="D90" s="2" t="s">
        <v>278</v>
      </c>
      <c r="E90" s="2" t="s">
        <v>279</v>
      </c>
      <c r="F90" s="2" t="s">
        <v>253</v>
      </c>
      <c r="G90" s="2" t="s">
        <v>14</v>
      </c>
      <c r="H90" s="2" t="s">
        <v>15</v>
      </c>
      <c r="I90" s="21">
        <v>1</v>
      </c>
      <c r="J90" s="1">
        <v>6733</v>
      </c>
      <c r="K90" s="3">
        <v>42880</v>
      </c>
      <c r="L90" s="4">
        <v>506800</v>
      </c>
      <c r="M90" s="2" t="s">
        <v>30</v>
      </c>
      <c r="N90" s="2" t="s">
        <v>280</v>
      </c>
      <c r="O90" s="2" t="s">
        <v>280</v>
      </c>
      <c r="P90" s="4">
        <v>32000</v>
      </c>
      <c r="Q90" s="4">
        <v>0</v>
      </c>
      <c r="R90" s="4">
        <v>0</v>
      </c>
      <c r="S90"/>
    </row>
    <row r="91" spans="2:19" x14ac:dyDescent="0.25">
      <c r="B91">
        <v>1</v>
      </c>
      <c r="C91" s="2" t="s">
        <v>22</v>
      </c>
      <c r="D91" s="2" t="s">
        <v>281</v>
      </c>
      <c r="E91" s="2" t="s">
        <v>282</v>
      </c>
      <c r="F91" s="2" t="s">
        <v>106</v>
      </c>
      <c r="G91" s="2" t="s">
        <v>14</v>
      </c>
      <c r="H91" s="2" t="s">
        <v>15</v>
      </c>
      <c r="I91" s="21">
        <v>1</v>
      </c>
      <c r="J91" s="1">
        <v>2193</v>
      </c>
      <c r="K91" s="3">
        <v>42887</v>
      </c>
      <c r="L91" s="4">
        <v>175000</v>
      </c>
      <c r="M91" s="2" t="s">
        <v>109</v>
      </c>
      <c r="N91" s="2" t="s">
        <v>283</v>
      </c>
      <c r="O91" s="2" t="s">
        <v>283</v>
      </c>
      <c r="P91" s="4">
        <v>67000</v>
      </c>
      <c r="Q91" s="4">
        <v>0</v>
      </c>
      <c r="R91" s="4">
        <v>0</v>
      </c>
      <c r="S91"/>
    </row>
    <row r="92" spans="2:19" x14ac:dyDescent="0.25">
      <c r="B92">
        <v>1</v>
      </c>
      <c r="C92" s="2" t="s">
        <v>22</v>
      </c>
      <c r="D92" s="2" t="s">
        <v>284</v>
      </c>
      <c r="E92" s="2" t="s">
        <v>285</v>
      </c>
      <c r="F92" s="2" t="s">
        <v>150</v>
      </c>
      <c r="G92" s="2" t="s">
        <v>14</v>
      </c>
      <c r="H92" s="2" t="s">
        <v>15</v>
      </c>
      <c r="I92" s="21">
        <v>1</v>
      </c>
      <c r="J92" s="1">
        <v>5066</v>
      </c>
      <c r="K92" s="3">
        <v>42887</v>
      </c>
      <c r="L92" s="4">
        <v>240000</v>
      </c>
      <c r="M92" s="2" t="s">
        <v>151</v>
      </c>
      <c r="N92" s="2" t="s">
        <v>152</v>
      </c>
      <c r="O92" s="2" t="s">
        <v>286</v>
      </c>
      <c r="P92" s="4">
        <v>45000</v>
      </c>
      <c r="Q92" s="4">
        <v>0</v>
      </c>
      <c r="R92" s="4">
        <v>0</v>
      </c>
      <c r="S92"/>
    </row>
    <row r="93" spans="2:19" x14ac:dyDescent="0.25">
      <c r="B93">
        <v>1</v>
      </c>
      <c r="C93" s="2" t="s">
        <v>22</v>
      </c>
      <c r="D93" s="2" t="s">
        <v>287</v>
      </c>
      <c r="E93" s="2" t="s">
        <v>288</v>
      </c>
      <c r="F93" s="2" t="s">
        <v>150</v>
      </c>
      <c r="G93" s="2" t="s">
        <v>14</v>
      </c>
      <c r="H93" s="2" t="s">
        <v>15</v>
      </c>
      <c r="I93" s="21">
        <v>1</v>
      </c>
      <c r="J93" s="1">
        <v>5052</v>
      </c>
      <c r="K93" s="3">
        <v>42887</v>
      </c>
      <c r="L93" s="4">
        <v>240000</v>
      </c>
      <c r="M93" s="2" t="s">
        <v>151</v>
      </c>
      <c r="N93" s="2" t="s">
        <v>152</v>
      </c>
      <c r="O93" s="2" t="s">
        <v>289</v>
      </c>
      <c r="P93" s="4">
        <v>45000</v>
      </c>
      <c r="Q93" s="4">
        <v>0</v>
      </c>
      <c r="R93" s="4">
        <v>0</v>
      </c>
      <c r="S93"/>
    </row>
    <row r="94" spans="2:19" x14ac:dyDescent="0.25">
      <c r="B94">
        <v>1</v>
      </c>
      <c r="C94" s="2" t="s">
        <v>22</v>
      </c>
      <c r="D94" s="2" t="s">
        <v>290</v>
      </c>
      <c r="E94" s="2" t="s">
        <v>291</v>
      </c>
      <c r="F94" s="2" t="s">
        <v>150</v>
      </c>
      <c r="G94" s="2" t="s">
        <v>14</v>
      </c>
      <c r="H94" s="2" t="s">
        <v>15</v>
      </c>
      <c r="I94" s="21">
        <v>1</v>
      </c>
      <c r="J94" s="1">
        <v>5649</v>
      </c>
      <c r="K94" s="3">
        <v>42887</v>
      </c>
      <c r="L94" s="4">
        <v>240000</v>
      </c>
      <c r="M94" s="2" t="s">
        <v>151</v>
      </c>
      <c r="N94" s="2" t="s">
        <v>152</v>
      </c>
      <c r="O94" s="2" t="s">
        <v>292</v>
      </c>
      <c r="P94" s="4">
        <v>49000</v>
      </c>
      <c r="Q94" s="4">
        <v>0</v>
      </c>
      <c r="R94" s="4">
        <v>0</v>
      </c>
      <c r="S94"/>
    </row>
    <row r="95" spans="2:19" x14ac:dyDescent="0.25">
      <c r="B95">
        <v>1</v>
      </c>
      <c r="C95" s="2" t="s">
        <v>22</v>
      </c>
      <c r="D95" s="2" t="s">
        <v>293</v>
      </c>
      <c r="E95" s="2" t="s">
        <v>294</v>
      </c>
      <c r="F95" s="2" t="s">
        <v>253</v>
      </c>
      <c r="G95" s="2" t="s">
        <v>14</v>
      </c>
      <c r="H95" s="2" t="s">
        <v>15</v>
      </c>
      <c r="I95" s="21">
        <v>1</v>
      </c>
      <c r="J95" s="1">
        <v>6943</v>
      </c>
      <c r="K95" s="3">
        <v>42893</v>
      </c>
      <c r="L95" s="4">
        <v>483700</v>
      </c>
      <c r="M95" s="2" t="s">
        <v>30</v>
      </c>
      <c r="N95" s="2" t="s">
        <v>295</v>
      </c>
      <c r="O95" s="2" t="s">
        <v>295</v>
      </c>
      <c r="P95" s="4">
        <v>32000</v>
      </c>
      <c r="Q95" s="4">
        <v>0</v>
      </c>
      <c r="R95" s="4">
        <v>0</v>
      </c>
      <c r="S95"/>
    </row>
    <row r="96" spans="2:19" x14ac:dyDescent="0.25">
      <c r="B96">
        <v>1</v>
      </c>
      <c r="C96" s="2" t="s">
        <v>22</v>
      </c>
      <c r="D96" s="2" t="s">
        <v>296</v>
      </c>
      <c r="E96" s="2" t="s">
        <v>297</v>
      </c>
      <c r="F96" s="2" t="s">
        <v>298</v>
      </c>
      <c r="G96" s="2" t="s">
        <v>17</v>
      </c>
      <c r="H96" s="2" t="s">
        <v>18</v>
      </c>
      <c r="I96" s="21">
        <v>1</v>
      </c>
      <c r="J96" s="1">
        <v>9496</v>
      </c>
      <c r="K96" s="3">
        <v>42901</v>
      </c>
      <c r="L96" s="4">
        <v>140000</v>
      </c>
      <c r="M96" s="2" t="s">
        <v>299</v>
      </c>
      <c r="N96" s="2" t="s">
        <v>300</v>
      </c>
      <c r="O96" s="2" t="s">
        <v>301</v>
      </c>
      <c r="P96" s="4">
        <v>106000</v>
      </c>
      <c r="Q96" s="4">
        <v>0</v>
      </c>
      <c r="R96" s="4">
        <v>0</v>
      </c>
      <c r="S96"/>
    </row>
    <row r="97" spans="2:19" x14ac:dyDescent="0.25">
      <c r="B97">
        <v>1</v>
      </c>
      <c r="C97" s="2" t="s">
        <v>22</v>
      </c>
      <c r="D97" s="2" t="s">
        <v>302</v>
      </c>
      <c r="E97" s="2" t="s">
        <v>303</v>
      </c>
      <c r="F97" s="2" t="s">
        <v>304</v>
      </c>
      <c r="G97" s="2" t="s">
        <v>14</v>
      </c>
      <c r="H97" s="2" t="s">
        <v>15</v>
      </c>
      <c r="I97" s="21">
        <v>1</v>
      </c>
      <c r="J97" s="1">
        <v>4656</v>
      </c>
      <c r="K97" s="3">
        <v>42908</v>
      </c>
      <c r="L97" s="4">
        <v>507300</v>
      </c>
      <c r="M97" s="2" t="s">
        <v>305</v>
      </c>
      <c r="N97" s="2" t="s">
        <v>306</v>
      </c>
      <c r="O97" s="2" t="s">
        <v>306</v>
      </c>
      <c r="P97" s="4">
        <v>49000</v>
      </c>
      <c r="Q97" s="4">
        <v>0</v>
      </c>
      <c r="R97" s="4">
        <v>0</v>
      </c>
      <c r="S97"/>
    </row>
    <row r="98" spans="2:19" x14ac:dyDescent="0.25">
      <c r="B98">
        <v>1</v>
      </c>
      <c r="C98" s="2" t="s">
        <v>22</v>
      </c>
      <c r="D98" s="2" t="s">
        <v>307</v>
      </c>
      <c r="E98" s="2" t="s">
        <v>308</v>
      </c>
      <c r="F98" s="2" t="s">
        <v>298</v>
      </c>
      <c r="G98" s="2" t="s">
        <v>17</v>
      </c>
      <c r="H98" s="2" t="s">
        <v>18</v>
      </c>
      <c r="I98" s="21">
        <v>1</v>
      </c>
      <c r="J98" s="1">
        <v>9468</v>
      </c>
      <c r="K98" s="3">
        <v>42914</v>
      </c>
      <c r="L98" s="4">
        <v>120000</v>
      </c>
      <c r="M98" s="2" t="s">
        <v>309</v>
      </c>
      <c r="N98" s="2" t="s">
        <v>310</v>
      </c>
      <c r="O98" s="2" t="s">
        <v>310</v>
      </c>
      <c r="P98" s="4">
        <v>106000</v>
      </c>
      <c r="Q98" s="4">
        <v>0</v>
      </c>
      <c r="R98" s="4">
        <v>0</v>
      </c>
      <c r="S98"/>
    </row>
    <row r="99" spans="2:19" x14ac:dyDescent="0.25">
      <c r="B99">
        <v>1</v>
      </c>
      <c r="C99" s="2" t="s">
        <v>22</v>
      </c>
      <c r="D99" s="2" t="s">
        <v>311</v>
      </c>
      <c r="E99" s="2" t="s">
        <v>312</v>
      </c>
      <c r="F99" s="2" t="s">
        <v>313</v>
      </c>
      <c r="G99" s="2" t="s">
        <v>17</v>
      </c>
      <c r="H99" s="2" t="s">
        <v>24</v>
      </c>
      <c r="I99" s="21">
        <v>1</v>
      </c>
      <c r="J99" s="1">
        <v>7005</v>
      </c>
      <c r="K99" s="3">
        <v>42914</v>
      </c>
      <c r="L99" s="4">
        <v>12971700</v>
      </c>
      <c r="M99" s="2" t="s">
        <v>314</v>
      </c>
      <c r="N99" s="2" t="s">
        <v>315</v>
      </c>
      <c r="O99" s="2" t="s">
        <v>316</v>
      </c>
      <c r="P99" s="4">
        <v>20000</v>
      </c>
      <c r="Q99" s="4">
        <v>0</v>
      </c>
      <c r="R99" s="4">
        <v>0</v>
      </c>
      <c r="S99"/>
    </row>
    <row r="100" spans="2:19" x14ac:dyDescent="0.25">
      <c r="B100">
        <v>1</v>
      </c>
      <c r="C100" s="2" t="s">
        <v>22</v>
      </c>
      <c r="D100" s="2" t="s">
        <v>317</v>
      </c>
      <c r="E100" s="2" t="s">
        <v>318</v>
      </c>
      <c r="F100" s="2" t="s">
        <v>313</v>
      </c>
      <c r="G100" s="2" t="s">
        <v>17</v>
      </c>
      <c r="H100" s="2" t="s">
        <v>24</v>
      </c>
      <c r="I100" s="21">
        <v>1</v>
      </c>
      <c r="J100" s="1">
        <v>7147</v>
      </c>
      <c r="K100" s="3">
        <v>42914</v>
      </c>
      <c r="L100" s="4"/>
      <c r="M100" s="2" t="s">
        <v>314</v>
      </c>
      <c r="N100" s="2" t="s">
        <v>315</v>
      </c>
      <c r="O100" s="2" t="s">
        <v>316</v>
      </c>
      <c r="P100" s="4">
        <v>20000</v>
      </c>
      <c r="Q100" s="4">
        <v>0</v>
      </c>
      <c r="R100" s="4">
        <v>0</v>
      </c>
      <c r="S100"/>
    </row>
    <row r="101" spans="2:19" x14ac:dyDescent="0.25">
      <c r="B101">
        <v>1</v>
      </c>
      <c r="C101" s="2" t="s">
        <v>22</v>
      </c>
      <c r="D101" s="2" t="s">
        <v>319</v>
      </c>
      <c r="E101" s="2" t="s">
        <v>320</v>
      </c>
      <c r="F101" s="2" t="s">
        <v>313</v>
      </c>
      <c r="G101" s="2" t="s">
        <v>17</v>
      </c>
      <c r="H101" s="2" t="s">
        <v>24</v>
      </c>
      <c r="I101" s="21">
        <v>1</v>
      </c>
      <c r="J101" s="1">
        <v>6914</v>
      </c>
      <c r="K101" s="3">
        <v>42914</v>
      </c>
      <c r="L101" s="4"/>
      <c r="M101" s="2" t="s">
        <v>314</v>
      </c>
      <c r="N101" s="2" t="s">
        <v>315</v>
      </c>
      <c r="O101" s="2" t="s">
        <v>316</v>
      </c>
      <c r="P101" s="4">
        <v>19000</v>
      </c>
      <c r="Q101" s="4">
        <v>0</v>
      </c>
      <c r="R101" s="4">
        <v>0</v>
      </c>
      <c r="S101"/>
    </row>
    <row r="102" spans="2:19" x14ac:dyDescent="0.25">
      <c r="B102">
        <v>1</v>
      </c>
      <c r="C102" s="2" t="s">
        <v>22</v>
      </c>
      <c r="D102" s="2" t="s">
        <v>321</v>
      </c>
      <c r="E102" s="2" t="s">
        <v>322</v>
      </c>
      <c r="F102" s="2" t="s">
        <v>313</v>
      </c>
      <c r="G102" s="2" t="s">
        <v>17</v>
      </c>
      <c r="H102" s="2" t="s">
        <v>24</v>
      </c>
      <c r="I102" s="21">
        <v>1</v>
      </c>
      <c r="J102" s="1">
        <v>8910</v>
      </c>
      <c r="K102" s="3">
        <v>42914</v>
      </c>
      <c r="L102" s="4"/>
      <c r="M102" s="2" t="s">
        <v>314</v>
      </c>
      <c r="N102" s="2" t="s">
        <v>315</v>
      </c>
      <c r="O102" s="2" t="s">
        <v>316</v>
      </c>
      <c r="P102" s="4">
        <v>22000</v>
      </c>
      <c r="Q102" s="4">
        <v>0</v>
      </c>
      <c r="R102" s="4">
        <v>0</v>
      </c>
      <c r="S102"/>
    </row>
    <row r="103" spans="2:19" x14ac:dyDescent="0.25">
      <c r="B103">
        <v>1</v>
      </c>
      <c r="C103" s="2" t="s">
        <v>22</v>
      </c>
      <c r="D103" s="2" t="s">
        <v>323</v>
      </c>
      <c r="E103" s="2" t="s">
        <v>324</v>
      </c>
      <c r="F103" s="2" t="s">
        <v>313</v>
      </c>
      <c r="G103" s="2" t="s">
        <v>17</v>
      </c>
      <c r="H103" s="2" t="s">
        <v>24</v>
      </c>
      <c r="I103" s="21">
        <v>1</v>
      </c>
      <c r="J103" s="1">
        <v>7711</v>
      </c>
      <c r="K103" s="3">
        <v>42914</v>
      </c>
      <c r="L103" s="4"/>
      <c r="M103" s="2" t="s">
        <v>314</v>
      </c>
      <c r="N103" s="2" t="s">
        <v>315</v>
      </c>
      <c r="O103" s="2" t="s">
        <v>316</v>
      </c>
      <c r="P103" s="4">
        <v>21000</v>
      </c>
      <c r="Q103" s="4">
        <v>0</v>
      </c>
      <c r="R103" s="4">
        <v>0</v>
      </c>
      <c r="S103"/>
    </row>
    <row r="104" spans="2:19" x14ac:dyDescent="0.25">
      <c r="B104">
        <v>1</v>
      </c>
      <c r="C104" s="2" t="s">
        <v>22</v>
      </c>
      <c r="D104" s="2" t="s">
        <v>325</v>
      </c>
      <c r="E104" s="2" t="s">
        <v>326</v>
      </c>
      <c r="F104" s="2" t="s">
        <v>313</v>
      </c>
      <c r="G104" s="2" t="s">
        <v>17</v>
      </c>
      <c r="H104" s="2" t="s">
        <v>24</v>
      </c>
      <c r="I104" s="21">
        <v>1</v>
      </c>
      <c r="J104" s="1">
        <v>7611</v>
      </c>
      <c r="K104" s="3">
        <v>42914</v>
      </c>
      <c r="L104" s="4"/>
      <c r="M104" s="2" t="s">
        <v>314</v>
      </c>
      <c r="N104" s="2" t="s">
        <v>315</v>
      </c>
      <c r="O104" s="2" t="s">
        <v>316</v>
      </c>
      <c r="P104" s="4">
        <v>20000</v>
      </c>
      <c r="Q104" s="4">
        <v>0</v>
      </c>
      <c r="R104" s="4">
        <v>0</v>
      </c>
      <c r="S104"/>
    </row>
    <row r="105" spans="2:19" x14ac:dyDescent="0.25">
      <c r="B105">
        <v>1</v>
      </c>
      <c r="C105" s="2" t="s">
        <v>22</v>
      </c>
      <c r="D105" s="2" t="s">
        <v>327</v>
      </c>
      <c r="E105" s="2" t="s">
        <v>328</v>
      </c>
      <c r="F105" s="2" t="s">
        <v>313</v>
      </c>
      <c r="G105" s="2" t="s">
        <v>17</v>
      </c>
      <c r="H105" s="2" t="s">
        <v>24</v>
      </c>
      <c r="I105" s="21">
        <v>1</v>
      </c>
      <c r="J105" s="1">
        <v>7699</v>
      </c>
      <c r="K105" s="3">
        <v>42914</v>
      </c>
      <c r="L105" s="4"/>
      <c r="M105" s="2" t="s">
        <v>314</v>
      </c>
      <c r="N105" s="2" t="s">
        <v>315</v>
      </c>
      <c r="O105" s="2" t="s">
        <v>316</v>
      </c>
      <c r="P105" s="4">
        <v>21000</v>
      </c>
      <c r="Q105" s="4">
        <v>0</v>
      </c>
      <c r="R105" s="4">
        <v>0</v>
      </c>
      <c r="S105"/>
    </row>
    <row r="106" spans="2:19" x14ac:dyDescent="0.25">
      <c r="B106">
        <v>1</v>
      </c>
      <c r="C106" s="2" t="s">
        <v>22</v>
      </c>
      <c r="D106" s="2" t="s">
        <v>329</v>
      </c>
      <c r="E106" s="2" t="s">
        <v>330</v>
      </c>
      <c r="F106" s="2" t="s">
        <v>313</v>
      </c>
      <c r="G106" s="2" t="s">
        <v>17</v>
      </c>
      <c r="H106" s="2" t="s">
        <v>24</v>
      </c>
      <c r="I106" s="21">
        <v>1</v>
      </c>
      <c r="J106" s="1">
        <v>7655</v>
      </c>
      <c r="K106" s="3">
        <v>42914</v>
      </c>
      <c r="L106" s="4"/>
      <c r="M106" s="2" t="s">
        <v>314</v>
      </c>
      <c r="N106" s="2" t="s">
        <v>315</v>
      </c>
      <c r="O106" s="2" t="s">
        <v>316</v>
      </c>
      <c r="P106" s="4">
        <v>21000</v>
      </c>
      <c r="Q106" s="4">
        <v>0</v>
      </c>
      <c r="R106" s="4">
        <v>0</v>
      </c>
      <c r="S106"/>
    </row>
    <row r="107" spans="2:19" s="27" customFormat="1" x14ac:dyDescent="0.25">
      <c r="B107" s="26">
        <v>1</v>
      </c>
      <c r="C107" s="2" t="s">
        <v>22</v>
      </c>
      <c r="D107" s="2" t="s">
        <v>331</v>
      </c>
      <c r="E107" s="2" t="s">
        <v>332</v>
      </c>
      <c r="F107" s="2" t="s">
        <v>313</v>
      </c>
      <c r="G107" s="2" t="s">
        <v>17</v>
      </c>
      <c r="H107" s="2" t="s">
        <v>24</v>
      </c>
      <c r="I107" s="21">
        <v>1</v>
      </c>
      <c r="J107" s="1">
        <v>8022</v>
      </c>
      <c r="K107" s="3">
        <v>42914</v>
      </c>
      <c r="L107" s="4">
        <v>5576700</v>
      </c>
      <c r="M107" s="2" t="s">
        <v>315</v>
      </c>
      <c r="N107" s="2" t="s">
        <v>29</v>
      </c>
      <c r="O107" s="2" t="s">
        <v>29</v>
      </c>
      <c r="P107" s="4">
        <v>21000</v>
      </c>
      <c r="Q107" s="4">
        <v>0</v>
      </c>
      <c r="R107" s="4">
        <v>0</v>
      </c>
      <c r="S107" s="26"/>
    </row>
    <row r="108" spans="2:19" x14ac:dyDescent="0.25">
      <c r="B108">
        <v>1</v>
      </c>
      <c r="C108" s="2" t="s">
        <v>22</v>
      </c>
      <c r="D108" s="2" t="s">
        <v>333</v>
      </c>
      <c r="E108" s="2" t="s">
        <v>334</v>
      </c>
      <c r="F108" s="2" t="s">
        <v>313</v>
      </c>
      <c r="G108" s="2" t="s">
        <v>17</v>
      </c>
      <c r="H108" s="2" t="s">
        <v>24</v>
      </c>
      <c r="I108" s="21">
        <v>1</v>
      </c>
      <c r="J108" s="1">
        <v>8046</v>
      </c>
      <c r="K108" s="3">
        <v>42914</v>
      </c>
      <c r="L108" s="4"/>
      <c r="M108" s="2" t="s">
        <v>314</v>
      </c>
      <c r="N108" s="2" t="s">
        <v>315</v>
      </c>
      <c r="O108" s="2" t="s">
        <v>29</v>
      </c>
      <c r="P108" s="4">
        <v>21000</v>
      </c>
      <c r="Q108" s="4">
        <v>0</v>
      </c>
      <c r="R108" s="4">
        <v>0</v>
      </c>
      <c r="S108"/>
    </row>
    <row r="109" spans="2:19" x14ac:dyDescent="0.25">
      <c r="B109">
        <v>1</v>
      </c>
      <c r="C109" s="2" t="s">
        <v>22</v>
      </c>
      <c r="D109" s="2" t="s">
        <v>335</v>
      </c>
      <c r="E109" s="2" t="s">
        <v>336</v>
      </c>
      <c r="F109" s="2" t="s">
        <v>313</v>
      </c>
      <c r="G109" s="2" t="s">
        <v>17</v>
      </c>
      <c r="H109" s="2" t="s">
        <v>24</v>
      </c>
      <c r="I109" s="21">
        <v>1</v>
      </c>
      <c r="J109" s="1">
        <v>7696</v>
      </c>
      <c r="K109" s="3">
        <v>42914</v>
      </c>
      <c r="L109" s="4"/>
      <c r="M109" s="2" t="s">
        <v>314</v>
      </c>
      <c r="N109" s="2" t="s">
        <v>315</v>
      </c>
      <c r="O109" s="2" t="s">
        <v>29</v>
      </c>
      <c r="P109" s="4">
        <v>21000</v>
      </c>
      <c r="Q109" s="4">
        <v>0</v>
      </c>
      <c r="R109" s="4">
        <v>0</v>
      </c>
      <c r="S109"/>
    </row>
    <row r="110" spans="2:19" x14ac:dyDescent="0.25">
      <c r="B110">
        <v>1</v>
      </c>
      <c r="C110" s="2" t="s">
        <v>22</v>
      </c>
      <c r="D110" s="2" t="s">
        <v>337</v>
      </c>
      <c r="E110" s="2" t="s">
        <v>338</v>
      </c>
      <c r="F110" s="2" t="s">
        <v>313</v>
      </c>
      <c r="G110" s="2" t="s">
        <v>17</v>
      </c>
      <c r="H110" s="2" t="s">
        <v>24</v>
      </c>
      <c r="I110" s="21">
        <v>1</v>
      </c>
      <c r="J110" s="1">
        <v>7398</v>
      </c>
      <c r="K110" s="3">
        <v>42914</v>
      </c>
      <c r="L110" s="4"/>
      <c r="M110" s="2" t="s">
        <v>314</v>
      </c>
      <c r="N110" s="2" t="s">
        <v>315</v>
      </c>
      <c r="O110" s="2" t="s">
        <v>29</v>
      </c>
      <c r="P110" s="4">
        <v>20000</v>
      </c>
      <c r="Q110" s="4">
        <v>0</v>
      </c>
      <c r="R110" s="4">
        <v>0</v>
      </c>
      <c r="S110"/>
    </row>
    <row r="111" spans="2:19" x14ac:dyDescent="0.25">
      <c r="B111">
        <v>1</v>
      </c>
      <c r="C111" s="2" t="s">
        <v>22</v>
      </c>
      <c r="D111" s="2" t="s">
        <v>339</v>
      </c>
      <c r="E111" s="2" t="s">
        <v>340</v>
      </c>
      <c r="F111" s="2" t="s">
        <v>313</v>
      </c>
      <c r="G111" s="2" t="s">
        <v>17</v>
      </c>
      <c r="H111" s="2" t="s">
        <v>24</v>
      </c>
      <c r="I111" s="21">
        <v>1</v>
      </c>
      <c r="J111" s="1">
        <v>7342</v>
      </c>
      <c r="K111" s="3">
        <v>42914</v>
      </c>
      <c r="L111" s="4"/>
      <c r="M111" s="2" t="s">
        <v>314</v>
      </c>
      <c r="N111" s="2" t="s">
        <v>315</v>
      </c>
      <c r="O111" s="2" t="s">
        <v>29</v>
      </c>
      <c r="P111" s="4">
        <v>20000</v>
      </c>
      <c r="Q111" s="4">
        <v>0</v>
      </c>
      <c r="R111" s="4">
        <v>0</v>
      </c>
      <c r="S111"/>
    </row>
    <row r="112" spans="2:19" x14ac:dyDescent="0.25">
      <c r="B112">
        <v>1</v>
      </c>
      <c r="C112" s="2" t="s">
        <v>22</v>
      </c>
      <c r="D112" s="2" t="s">
        <v>341</v>
      </c>
      <c r="E112" s="2" t="s">
        <v>342</v>
      </c>
      <c r="F112" s="2" t="s">
        <v>313</v>
      </c>
      <c r="G112" s="2" t="s">
        <v>17</v>
      </c>
      <c r="H112" s="2" t="s">
        <v>24</v>
      </c>
      <c r="I112" s="21">
        <v>1</v>
      </c>
      <c r="J112" s="1">
        <v>7304</v>
      </c>
      <c r="K112" s="3">
        <v>42914</v>
      </c>
      <c r="L112" s="4"/>
      <c r="M112" s="2" t="s">
        <v>314</v>
      </c>
      <c r="N112" s="2" t="s">
        <v>315</v>
      </c>
      <c r="O112" s="2" t="s">
        <v>29</v>
      </c>
      <c r="P112" s="4">
        <v>20000</v>
      </c>
      <c r="Q112" s="4">
        <v>0</v>
      </c>
      <c r="R112" s="4">
        <v>0</v>
      </c>
      <c r="S112"/>
    </row>
    <row r="113" spans="2:19" x14ac:dyDescent="0.25">
      <c r="B113">
        <v>1</v>
      </c>
      <c r="C113" s="2" t="s">
        <v>22</v>
      </c>
      <c r="D113" s="2" t="s">
        <v>343</v>
      </c>
      <c r="E113" s="2" t="s">
        <v>344</v>
      </c>
      <c r="F113" s="2" t="s">
        <v>313</v>
      </c>
      <c r="G113" s="2" t="s">
        <v>17</v>
      </c>
      <c r="H113" s="2" t="s">
        <v>24</v>
      </c>
      <c r="I113" s="21">
        <v>1</v>
      </c>
      <c r="J113" s="1">
        <v>7220</v>
      </c>
      <c r="K113" s="3">
        <v>42914</v>
      </c>
      <c r="L113" s="4"/>
      <c r="M113" s="2" t="s">
        <v>315</v>
      </c>
      <c r="N113" s="2" t="s">
        <v>29</v>
      </c>
      <c r="O113" s="2" t="s">
        <v>29</v>
      </c>
      <c r="P113" s="4">
        <v>20000</v>
      </c>
      <c r="Q113" s="4">
        <v>0</v>
      </c>
      <c r="R113" s="4">
        <v>0</v>
      </c>
      <c r="S113"/>
    </row>
    <row r="114" spans="2:19" x14ac:dyDescent="0.25">
      <c r="B114">
        <v>1</v>
      </c>
      <c r="C114" s="2" t="s">
        <v>22</v>
      </c>
      <c r="D114" s="2" t="s">
        <v>345</v>
      </c>
      <c r="E114" s="2" t="s">
        <v>346</v>
      </c>
      <c r="F114" s="2" t="s">
        <v>313</v>
      </c>
      <c r="G114" s="2" t="s">
        <v>17</v>
      </c>
      <c r="H114" s="2" t="s">
        <v>24</v>
      </c>
      <c r="I114" s="21">
        <v>1</v>
      </c>
      <c r="J114" s="1">
        <v>7050</v>
      </c>
      <c r="K114" s="3">
        <v>42914</v>
      </c>
      <c r="L114" s="4"/>
      <c r="M114" s="2" t="s">
        <v>314</v>
      </c>
      <c r="N114" s="2" t="s">
        <v>315</v>
      </c>
      <c r="O114" s="2" t="s">
        <v>316</v>
      </c>
      <c r="P114" s="4">
        <v>20000</v>
      </c>
      <c r="Q114" s="4">
        <v>0</v>
      </c>
      <c r="R114" s="4">
        <v>0</v>
      </c>
      <c r="S114"/>
    </row>
    <row r="115" spans="2:19" x14ac:dyDescent="0.25">
      <c r="B115">
        <v>1</v>
      </c>
      <c r="C115" s="2" t="s">
        <v>22</v>
      </c>
      <c r="D115" s="2" t="s">
        <v>347</v>
      </c>
      <c r="E115" s="2" t="s">
        <v>348</v>
      </c>
      <c r="F115" s="2" t="s">
        <v>313</v>
      </c>
      <c r="G115" s="2" t="s">
        <v>17</v>
      </c>
      <c r="H115" s="2" t="s">
        <v>24</v>
      </c>
      <c r="I115" s="21">
        <v>1</v>
      </c>
      <c r="J115" s="1">
        <v>7451</v>
      </c>
      <c r="K115" s="3">
        <v>42914</v>
      </c>
      <c r="L115" s="4"/>
      <c r="M115" s="2" t="s">
        <v>314</v>
      </c>
      <c r="N115" s="2" t="s">
        <v>315</v>
      </c>
      <c r="O115" s="2" t="s">
        <v>316</v>
      </c>
      <c r="P115" s="4">
        <v>20000</v>
      </c>
      <c r="Q115" s="4">
        <v>0</v>
      </c>
      <c r="R115" s="4">
        <v>0</v>
      </c>
      <c r="S115"/>
    </row>
    <row r="116" spans="2:19" x14ac:dyDescent="0.25">
      <c r="B116">
        <v>1</v>
      </c>
      <c r="C116" s="2" t="s">
        <v>22</v>
      </c>
      <c r="D116" s="2" t="s">
        <v>349</v>
      </c>
      <c r="E116" s="2" t="s">
        <v>350</v>
      </c>
      <c r="F116" s="2" t="s">
        <v>313</v>
      </c>
      <c r="G116" s="2" t="s">
        <v>17</v>
      </c>
      <c r="H116" s="2" t="s">
        <v>24</v>
      </c>
      <c r="I116" s="21">
        <v>1</v>
      </c>
      <c r="J116" s="1">
        <v>7422</v>
      </c>
      <c r="K116" s="3">
        <v>42914</v>
      </c>
      <c r="L116" s="4"/>
      <c r="M116" s="2" t="s">
        <v>314</v>
      </c>
      <c r="N116" s="2" t="s">
        <v>315</v>
      </c>
      <c r="O116" s="2" t="s">
        <v>316</v>
      </c>
      <c r="P116" s="4">
        <v>20000</v>
      </c>
      <c r="Q116" s="4">
        <v>0</v>
      </c>
      <c r="R116" s="4">
        <v>0</v>
      </c>
      <c r="S116"/>
    </row>
    <row r="117" spans="2:19" x14ac:dyDescent="0.25">
      <c r="B117">
        <v>1</v>
      </c>
      <c r="C117" s="2" t="s">
        <v>22</v>
      </c>
      <c r="D117" s="2" t="s">
        <v>351</v>
      </c>
      <c r="E117" s="2" t="s">
        <v>352</v>
      </c>
      <c r="F117" s="2" t="s">
        <v>313</v>
      </c>
      <c r="G117" s="2" t="s">
        <v>17</v>
      </c>
      <c r="H117" s="2" t="s">
        <v>24</v>
      </c>
      <c r="I117" s="21">
        <v>1</v>
      </c>
      <c r="J117" s="1">
        <v>7447</v>
      </c>
      <c r="K117" s="3">
        <v>42914</v>
      </c>
      <c r="L117" s="4"/>
      <c r="M117" s="2" t="s">
        <v>314</v>
      </c>
      <c r="N117" s="2" t="s">
        <v>315</v>
      </c>
      <c r="O117" s="2" t="s">
        <v>316</v>
      </c>
      <c r="P117" s="4">
        <v>20000</v>
      </c>
      <c r="Q117" s="4">
        <v>0</v>
      </c>
      <c r="R117" s="4">
        <v>0</v>
      </c>
      <c r="S117"/>
    </row>
    <row r="118" spans="2:19" x14ac:dyDescent="0.25">
      <c r="B118">
        <v>1</v>
      </c>
      <c r="C118" s="2" t="s">
        <v>22</v>
      </c>
      <c r="D118" s="2" t="s">
        <v>353</v>
      </c>
      <c r="E118" s="2" t="s">
        <v>354</v>
      </c>
      <c r="F118" s="2" t="s">
        <v>313</v>
      </c>
      <c r="G118" s="2" t="s">
        <v>17</v>
      </c>
      <c r="H118" s="2" t="s">
        <v>24</v>
      </c>
      <c r="I118" s="21">
        <v>1</v>
      </c>
      <c r="J118" s="1">
        <v>7530</v>
      </c>
      <c r="K118" s="3">
        <v>42914</v>
      </c>
      <c r="L118" s="4"/>
      <c r="M118" s="2" t="s">
        <v>314</v>
      </c>
      <c r="N118" s="2" t="s">
        <v>315</v>
      </c>
      <c r="O118" s="2" t="s">
        <v>316</v>
      </c>
      <c r="P118" s="4">
        <v>20000</v>
      </c>
      <c r="Q118" s="4">
        <v>0</v>
      </c>
      <c r="R118" s="4">
        <v>0</v>
      </c>
      <c r="S118"/>
    </row>
    <row r="119" spans="2:19" x14ac:dyDescent="0.25">
      <c r="B119">
        <v>1</v>
      </c>
      <c r="C119" s="2" t="s">
        <v>22</v>
      </c>
      <c r="D119" s="2" t="s">
        <v>355</v>
      </c>
      <c r="E119" s="2" t="s">
        <v>356</v>
      </c>
      <c r="F119" s="2" t="s">
        <v>313</v>
      </c>
      <c r="G119" s="2" t="s">
        <v>17</v>
      </c>
      <c r="H119" s="2" t="s">
        <v>24</v>
      </c>
      <c r="I119" s="21">
        <v>1</v>
      </c>
      <c r="J119" s="1">
        <v>7132</v>
      </c>
      <c r="K119" s="3">
        <v>42914</v>
      </c>
      <c r="L119" s="4"/>
      <c r="M119" s="2" t="s">
        <v>314</v>
      </c>
      <c r="N119" s="2" t="s">
        <v>315</v>
      </c>
      <c r="O119" s="2" t="s">
        <v>316</v>
      </c>
      <c r="P119" s="4">
        <v>20000</v>
      </c>
      <c r="Q119" s="4">
        <v>0</v>
      </c>
      <c r="R119" s="4">
        <v>0</v>
      </c>
      <c r="S119"/>
    </row>
    <row r="120" spans="2:19" x14ac:dyDescent="0.25">
      <c r="B120">
        <v>1</v>
      </c>
      <c r="C120" s="2" t="s">
        <v>22</v>
      </c>
      <c r="D120" s="2" t="s">
        <v>357</v>
      </c>
      <c r="E120" s="2" t="s">
        <v>358</v>
      </c>
      <c r="F120" s="2" t="s">
        <v>313</v>
      </c>
      <c r="G120" s="2" t="s">
        <v>17</v>
      </c>
      <c r="H120" s="2" t="s">
        <v>24</v>
      </c>
      <c r="I120" s="21">
        <v>1</v>
      </c>
      <c r="J120" s="1">
        <v>6896</v>
      </c>
      <c r="K120" s="3">
        <v>42914</v>
      </c>
      <c r="L120" s="4"/>
      <c r="M120" s="2" t="s">
        <v>314</v>
      </c>
      <c r="N120" s="2" t="s">
        <v>315</v>
      </c>
      <c r="O120" s="2" t="s">
        <v>316</v>
      </c>
      <c r="P120" s="4">
        <v>19000</v>
      </c>
      <c r="Q120" s="4">
        <v>0</v>
      </c>
      <c r="R120" s="4">
        <v>0</v>
      </c>
      <c r="S120"/>
    </row>
    <row r="121" spans="2:19" x14ac:dyDescent="0.25">
      <c r="B121">
        <v>1</v>
      </c>
      <c r="C121" s="2" t="s">
        <v>22</v>
      </c>
      <c r="D121" s="2" t="s">
        <v>359</v>
      </c>
      <c r="E121" s="2" t="s">
        <v>360</v>
      </c>
      <c r="F121" s="2" t="s">
        <v>313</v>
      </c>
      <c r="G121" s="2" t="s">
        <v>17</v>
      </c>
      <c r="H121" s="2" t="s">
        <v>24</v>
      </c>
      <c r="I121" s="21">
        <v>1</v>
      </c>
      <c r="J121" s="1">
        <v>6770</v>
      </c>
      <c r="K121" s="3">
        <v>42914</v>
      </c>
      <c r="L121" s="4"/>
      <c r="M121" s="2" t="s">
        <v>314</v>
      </c>
      <c r="N121" s="2" t="s">
        <v>315</v>
      </c>
      <c r="O121" s="2" t="s">
        <v>316</v>
      </c>
      <c r="P121" s="4">
        <v>19000</v>
      </c>
      <c r="Q121" s="4">
        <v>0</v>
      </c>
      <c r="R121" s="4">
        <v>0</v>
      </c>
      <c r="S121"/>
    </row>
    <row r="122" spans="2:19" x14ac:dyDescent="0.25">
      <c r="B122">
        <v>1</v>
      </c>
      <c r="C122" s="2" t="s">
        <v>22</v>
      </c>
      <c r="D122" s="2" t="s">
        <v>361</v>
      </c>
      <c r="E122" s="2" t="s">
        <v>362</v>
      </c>
      <c r="F122" s="2" t="s">
        <v>313</v>
      </c>
      <c r="G122" s="2" t="s">
        <v>17</v>
      </c>
      <c r="H122" s="2" t="s">
        <v>24</v>
      </c>
      <c r="I122" s="21">
        <v>1</v>
      </c>
      <c r="J122" s="1">
        <v>6374</v>
      </c>
      <c r="K122" s="3">
        <v>42914</v>
      </c>
      <c r="L122" s="4"/>
      <c r="M122" s="2" t="s">
        <v>314</v>
      </c>
      <c r="N122" s="2" t="s">
        <v>315</v>
      </c>
      <c r="O122" s="2" t="s">
        <v>316</v>
      </c>
      <c r="P122" s="4">
        <v>19000</v>
      </c>
      <c r="Q122" s="4">
        <v>0</v>
      </c>
      <c r="R122" s="4">
        <v>0</v>
      </c>
      <c r="S122"/>
    </row>
    <row r="123" spans="2:19" x14ac:dyDescent="0.25">
      <c r="B123">
        <v>1</v>
      </c>
      <c r="C123" s="2" t="s">
        <v>22</v>
      </c>
      <c r="D123" s="2" t="s">
        <v>363</v>
      </c>
      <c r="E123" s="2" t="s">
        <v>364</v>
      </c>
      <c r="F123" s="2" t="s">
        <v>313</v>
      </c>
      <c r="G123" s="2" t="s">
        <v>17</v>
      </c>
      <c r="H123" s="2" t="s">
        <v>24</v>
      </c>
      <c r="I123" s="21">
        <v>1</v>
      </c>
      <c r="J123" s="1">
        <v>6697</v>
      </c>
      <c r="K123" s="3">
        <v>42914</v>
      </c>
      <c r="L123" s="4"/>
      <c r="M123" s="2" t="s">
        <v>314</v>
      </c>
      <c r="N123" s="2" t="s">
        <v>315</v>
      </c>
      <c r="O123" s="2" t="s">
        <v>316</v>
      </c>
      <c r="P123" s="4">
        <v>19000</v>
      </c>
      <c r="Q123" s="4">
        <v>0</v>
      </c>
      <c r="R123" s="4">
        <v>0</v>
      </c>
      <c r="S123"/>
    </row>
    <row r="124" spans="2:19" x14ac:dyDescent="0.25">
      <c r="B124">
        <v>1</v>
      </c>
      <c r="C124" s="2" t="s">
        <v>22</v>
      </c>
      <c r="D124" s="2" t="s">
        <v>365</v>
      </c>
      <c r="E124" s="2" t="s">
        <v>366</v>
      </c>
      <c r="F124" s="2" t="s">
        <v>313</v>
      </c>
      <c r="G124" s="2" t="s">
        <v>17</v>
      </c>
      <c r="H124" s="2" t="s">
        <v>24</v>
      </c>
      <c r="I124" s="21">
        <v>1</v>
      </c>
      <c r="J124" s="1">
        <v>6740</v>
      </c>
      <c r="K124" s="3">
        <v>42914</v>
      </c>
      <c r="L124" s="4"/>
      <c r="M124" s="2" t="s">
        <v>314</v>
      </c>
      <c r="N124" s="2" t="s">
        <v>315</v>
      </c>
      <c r="O124" s="2" t="s">
        <v>316</v>
      </c>
      <c r="P124" s="4">
        <v>19000</v>
      </c>
      <c r="Q124" s="4">
        <v>0</v>
      </c>
      <c r="R124" s="4">
        <v>0</v>
      </c>
      <c r="S124"/>
    </row>
    <row r="125" spans="2:19" x14ac:dyDescent="0.25">
      <c r="B125">
        <v>1</v>
      </c>
      <c r="C125" s="2" t="s">
        <v>22</v>
      </c>
      <c r="D125" s="2" t="s">
        <v>367</v>
      </c>
      <c r="E125" s="2" t="s">
        <v>368</v>
      </c>
      <c r="F125" s="2" t="s">
        <v>313</v>
      </c>
      <c r="G125" s="2" t="s">
        <v>17</v>
      </c>
      <c r="H125" s="2" t="s">
        <v>24</v>
      </c>
      <c r="I125" s="21">
        <v>1</v>
      </c>
      <c r="J125" s="1">
        <v>6653</v>
      </c>
      <c r="K125" s="3">
        <v>42914</v>
      </c>
      <c r="L125" s="4"/>
      <c r="M125" s="2" t="s">
        <v>314</v>
      </c>
      <c r="N125" s="2" t="s">
        <v>315</v>
      </c>
      <c r="O125" s="2" t="s">
        <v>316</v>
      </c>
      <c r="P125" s="4">
        <v>19000</v>
      </c>
      <c r="Q125" s="4">
        <v>0</v>
      </c>
      <c r="R125" s="4">
        <v>0</v>
      </c>
      <c r="S125"/>
    </row>
    <row r="126" spans="2:19" x14ac:dyDescent="0.25">
      <c r="B126">
        <v>1</v>
      </c>
      <c r="C126" s="2" t="s">
        <v>22</v>
      </c>
      <c r="D126" s="2" t="s">
        <v>369</v>
      </c>
      <c r="E126" s="2" t="s">
        <v>370</v>
      </c>
      <c r="F126" s="2" t="s">
        <v>313</v>
      </c>
      <c r="G126" s="2" t="s">
        <v>17</v>
      </c>
      <c r="H126" s="2" t="s">
        <v>24</v>
      </c>
      <c r="I126" s="21">
        <v>1</v>
      </c>
      <c r="J126" s="1">
        <v>6717</v>
      </c>
      <c r="K126" s="3">
        <v>42914</v>
      </c>
      <c r="L126" s="4"/>
      <c r="M126" s="2" t="s">
        <v>314</v>
      </c>
      <c r="N126" s="2" t="s">
        <v>315</v>
      </c>
      <c r="O126" s="2" t="s">
        <v>316</v>
      </c>
      <c r="P126" s="4">
        <v>19000</v>
      </c>
      <c r="Q126" s="4">
        <v>0</v>
      </c>
      <c r="R126" s="4">
        <v>0</v>
      </c>
      <c r="S126"/>
    </row>
    <row r="127" spans="2:19" x14ac:dyDescent="0.25">
      <c r="B127">
        <v>1</v>
      </c>
      <c r="C127" s="2" t="s">
        <v>22</v>
      </c>
      <c r="D127" s="2" t="s">
        <v>371</v>
      </c>
      <c r="E127" s="2" t="s">
        <v>372</v>
      </c>
      <c r="F127" s="2" t="s">
        <v>313</v>
      </c>
      <c r="G127" s="2" t="s">
        <v>17</v>
      </c>
      <c r="H127" s="2" t="s">
        <v>24</v>
      </c>
      <c r="I127" s="21">
        <v>1</v>
      </c>
      <c r="J127" s="1">
        <v>6706</v>
      </c>
      <c r="K127" s="3">
        <v>42914</v>
      </c>
      <c r="L127" s="4"/>
      <c r="M127" s="2" t="s">
        <v>314</v>
      </c>
      <c r="N127" s="2" t="s">
        <v>315</v>
      </c>
      <c r="O127" s="2" t="s">
        <v>316</v>
      </c>
      <c r="P127" s="4">
        <v>19000</v>
      </c>
      <c r="Q127" s="4">
        <v>0</v>
      </c>
      <c r="R127" s="4">
        <v>0</v>
      </c>
      <c r="S127"/>
    </row>
    <row r="128" spans="2:19" x14ac:dyDescent="0.25">
      <c r="B128">
        <v>1</v>
      </c>
      <c r="C128" s="2" t="s">
        <v>22</v>
      </c>
      <c r="D128" s="2" t="s">
        <v>373</v>
      </c>
      <c r="E128" s="2" t="s">
        <v>374</v>
      </c>
      <c r="F128" s="2" t="s">
        <v>313</v>
      </c>
      <c r="G128" s="2" t="s">
        <v>17</v>
      </c>
      <c r="H128" s="2" t="s">
        <v>24</v>
      </c>
      <c r="I128" s="21">
        <v>1</v>
      </c>
      <c r="J128" s="1">
        <v>6636</v>
      </c>
      <c r="K128" s="3">
        <v>42914</v>
      </c>
      <c r="L128" s="4"/>
      <c r="M128" s="2" t="s">
        <v>314</v>
      </c>
      <c r="N128" s="2" t="s">
        <v>315</v>
      </c>
      <c r="O128" s="2" t="s">
        <v>316</v>
      </c>
      <c r="P128" s="4">
        <v>19000</v>
      </c>
      <c r="Q128" s="4">
        <v>0</v>
      </c>
      <c r="R128" s="4">
        <v>0</v>
      </c>
      <c r="S128"/>
    </row>
    <row r="129" spans="2:19" x14ac:dyDescent="0.25">
      <c r="B129">
        <v>1</v>
      </c>
      <c r="C129" s="2" t="s">
        <v>22</v>
      </c>
      <c r="D129" s="2" t="s">
        <v>375</v>
      </c>
      <c r="E129" s="2" t="s">
        <v>376</v>
      </c>
      <c r="F129" s="2" t="s">
        <v>313</v>
      </c>
      <c r="G129" s="2" t="s">
        <v>17</v>
      </c>
      <c r="H129" s="2" t="s">
        <v>24</v>
      </c>
      <c r="I129" s="21">
        <v>1</v>
      </c>
      <c r="J129" s="1">
        <v>6999</v>
      </c>
      <c r="K129" s="3">
        <v>42914</v>
      </c>
      <c r="L129" s="4"/>
      <c r="M129" s="2" t="s">
        <v>314</v>
      </c>
      <c r="N129" s="2" t="s">
        <v>315</v>
      </c>
      <c r="O129" s="2" t="s">
        <v>316</v>
      </c>
      <c r="P129" s="4">
        <v>20000</v>
      </c>
      <c r="Q129" s="4">
        <v>0</v>
      </c>
      <c r="R129" s="4">
        <v>0</v>
      </c>
      <c r="S129"/>
    </row>
    <row r="130" spans="2:19" x14ac:dyDescent="0.25">
      <c r="B130">
        <v>1</v>
      </c>
      <c r="C130" s="2" t="s">
        <v>22</v>
      </c>
      <c r="D130" s="2" t="s">
        <v>377</v>
      </c>
      <c r="E130" s="2" t="s">
        <v>378</v>
      </c>
      <c r="F130" s="2" t="s">
        <v>313</v>
      </c>
      <c r="G130" s="2" t="s">
        <v>17</v>
      </c>
      <c r="H130" s="2" t="s">
        <v>24</v>
      </c>
      <c r="I130" s="21">
        <v>1</v>
      </c>
      <c r="J130" s="1">
        <v>6828</v>
      </c>
      <c r="K130" s="3">
        <v>42914</v>
      </c>
      <c r="L130" s="4"/>
      <c r="M130" s="2" t="s">
        <v>314</v>
      </c>
      <c r="N130" s="2" t="s">
        <v>315</v>
      </c>
      <c r="O130" s="2" t="s">
        <v>316</v>
      </c>
      <c r="P130" s="4">
        <v>19000</v>
      </c>
      <c r="Q130" s="4">
        <v>0</v>
      </c>
      <c r="R130" s="4">
        <v>0</v>
      </c>
      <c r="S130"/>
    </row>
    <row r="131" spans="2:19" x14ac:dyDescent="0.25">
      <c r="B131">
        <v>1</v>
      </c>
      <c r="C131" s="2" t="s">
        <v>22</v>
      </c>
      <c r="D131" s="2" t="s">
        <v>379</v>
      </c>
      <c r="E131" s="2" t="s">
        <v>380</v>
      </c>
      <c r="F131" s="2" t="s">
        <v>313</v>
      </c>
      <c r="G131" s="2" t="s">
        <v>17</v>
      </c>
      <c r="H131" s="2" t="s">
        <v>24</v>
      </c>
      <c r="I131" s="21">
        <v>1</v>
      </c>
      <c r="J131" s="1">
        <v>6899</v>
      </c>
      <c r="K131" s="3">
        <v>42914</v>
      </c>
      <c r="L131" s="4"/>
      <c r="M131" s="2" t="s">
        <v>314</v>
      </c>
      <c r="N131" s="2" t="s">
        <v>315</v>
      </c>
      <c r="O131" s="2" t="s">
        <v>29</v>
      </c>
      <c r="P131" s="4">
        <v>19000</v>
      </c>
      <c r="Q131" s="4">
        <v>0</v>
      </c>
      <c r="R131" s="4">
        <v>0</v>
      </c>
      <c r="S131"/>
    </row>
    <row r="132" spans="2:19" x14ac:dyDescent="0.25">
      <c r="B132">
        <v>1</v>
      </c>
      <c r="C132" s="2" t="s">
        <v>22</v>
      </c>
      <c r="D132" s="2" t="s">
        <v>381</v>
      </c>
      <c r="E132" s="2" t="s">
        <v>382</v>
      </c>
      <c r="F132" s="2" t="s">
        <v>313</v>
      </c>
      <c r="G132" s="2" t="s">
        <v>17</v>
      </c>
      <c r="H132" s="2" t="s">
        <v>24</v>
      </c>
      <c r="I132" s="21">
        <v>1</v>
      </c>
      <c r="J132" s="1">
        <v>6777</v>
      </c>
      <c r="K132" s="3">
        <v>42914</v>
      </c>
      <c r="L132" s="4"/>
      <c r="M132" s="2" t="s">
        <v>315</v>
      </c>
      <c r="N132" s="2" t="s">
        <v>29</v>
      </c>
      <c r="O132" s="2" t="s">
        <v>29</v>
      </c>
      <c r="P132" s="4">
        <v>19000</v>
      </c>
      <c r="Q132" s="4">
        <v>0</v>
      </c>
      <c r="R132" s="4">
        <v>0</v>
      </c>
      <c r="S132"/>
    </row>
    <row r="133" spans="2:19" x14ac:dyDescent="0.25">
      <c r="B133">
        <v>1</v>
      </c>
      <c r="C133" s="2" t="s">
        <v>22</v>
      </c>
      <c r="D133" s="2" t="s">
        <v>383</v>
      </c>
      <c r="E133" s="2" t="s">
        <v>384</v>
      </c>
      <c r="F133" s="2" t="s">
        <v>313</v>
      </c>
      <c r="G133" s="2" t="s">
        <v>17</v>
      </c>
      <c r="H133" s="2" t="s">
        <v>24</v>
      </c>
      <c r="I133" s="21">
        <v>1</v>
      </c>
      <c r="J133" s="1">
        <v>5605</v>
      </c>
      <c r="K133" s="3">
        <v>42914</v>
      </c>
      <c r="L133" s="4"/>
      <c r="M133" s="2" t="s">
        <v>315</v>
      </c>
      <c r="N133" s="2" t="s">
        <v>29</v>
      </c>
      <c r="O133" s="2" t="s">
        <v>29</v>
      </c>
      <c r="P133" s="4">
        <v>18000</v>
      </c>
      <c r="Q133" s="4">
        <v>0</v>
      </c>
      <c r="R133" s="4">
        <v>0</v>
      </c>
      <c r="S133"/>
    </row>
    <row r="134" spans="2:19" x14ac:dyDescent="0.25">
      <c r="B134">
        <v>1</v>
      </c>
      <c r="C134" s="2" t="s">
        <v>22</v>
      </c>
      <c r="D134" s="2" t="s">
        <v>385</v>
      </c>
      <c r="E134" s="2" t="s">
        <v>386</v>
      </c>
      <c r="F134" s="2" t="s">
        <v>313</v>
      </c>
      <c r="G134" s="2" t="s">
        <v>17</v>
      </c>
      <c r="H134" s="2" t="s">
        <v>24</v>
      </c>
      <c r="I134" s="21">
        <v>1</v>
      </c>
      <c r="J134" s="1">
        <v>5584</v>
      </c>
      <c r="K134" s="3">
        <v>42914</v>
      </c>
      <c r="L134" s="4"/>
      <c r="M134" s="2" t="s">
        <v>314</v>
      </c>
      <c r="N134" s="2" t="s">
        <v>315</v>
      </c>
      <c r="O134" s="2" t="s">
        <v>29</v>
      </c>
      <c r="P134" s="4">
        <v>18000</v>
      </c>
      <c r="Q134" s="4">
        <v>0</v>
      </c>
      <c r="R134" s="4">
        <v>0</v>
      </c>
      <c r="S134"/>
    </row>
    <row r="135" spans="2:19" x14ac:dyDescent="0.25">
      <c r="B135">
        <v>1</v>
      </c>
      <c r="C135" s="2" t="s">
        <v>22</v>
      </c>
      <c r="D135" s="2" t="s">
        <v>387</v>
      </c>
      <c r="E135" s="2" t="s">
        <v>388</v>
      </c>
      <c r="F135" s="2" t="s">
        <v>313</v>
      </c>
      <c r="G135" s="2" t="s">
        <v>17</v>
      </c>
      <c r="H135" s="2" t="s">
        <v>24</v>
      </c>
      <c r="I135" s="21">
        <v>1</v>
      </c>
      <c r="J135" s="1">
        <v>5578</v>
      </c>
      <c r="K135" s="3">
        <v>42914</v>
      </c>
      <c r="L135" s="4"/>
      <c r="M135" s="2" t="s">
        <v>314</v>
      </c>
      <c r="N135" s="2" t="s">
        <v>315</v>
      </c>
      <c r="O135" s="2" t="s">
        <v>29</v>
      </c>
      <c r="P135" s="4">
        <v>18000</v>
      </c>
      <c r="Q135" s="4">
        <v>0</v>
      </c>
      <c r="R135" s="4">
        <v>0</v>
      </c>
      <c r="S135"/>
    </row>
    <row r="136" spans="2:19" x14ac:dyDescent="0.25">
      <c r="B136">
        <v>1</v>
      </c>
      <c r="C136" s="2" t="s">
        <v>22</v>
      </c>
      <c r="D136" s="2" t="s">
        <v>389</v>
      </c>
      <c r="E136" s="2" t="s">
        <v>390</v>
      </c>
      <c r="F136" s="2" t="s">
        <v>313</v>
      </c>
      <c r="G136" s="2" t="s">
        <v>17</v>
      </c>
      <c r="H136" s="2" t="s">
        <v>24</v>
      </c>
      <c r="I136" s="21">
        <v>1</v>
      </c>
      <c r="J136" s="1">
        <v>5582</v>
      </c>
      <c r="K136" s="3">
        <v>42914</v>
      </c>
      <c r="L136" s="4"/>
      <c r="M136" s="2" t="s">
        <v>315</v>
      </c>
      <c r="N136" s="2" t="s">
        <v>29</v>
      </c>
      <c r="O136" s="2" t="s">
        <v>29</v>
      </c>
      <c r="P136" s="4">
        <v>18000</v>
      </c>
      <c r="Q136" s="4">
        <v>0</v>
      </c>
      <c r="R136" s="4">
        <v>0</v>
      </c>
      <c r="S136"/>
    </row>
    <row r="137" spans="2:19" x14ac:dyDescent="0.25">
      <c r="B137">
        <v>1</v>
      </c>
      <c r="C137" s="2" t="s">
        <v>22</v>
      </c>
      <c r="D137" s="2" t="s">
        <v>391</v>
      </c>
      <c r="E137" s="2" t="s">
        <v>392</v>
      </c>
      <c r="F137" s="2" t="s">
        <v>313</v>
      </c>
      <c r="G137" s="2" t="s">
        <v>17</v>
      </c>
      <c r="H137" s="2" t="s">
        <v>24</v>
      </c>
      <c r="I137" s="21">
        <v>1</v>
      </c>
      <c r="J137" s="1">
        <v>5573</v>
      </c>
      <c r="K137" s="3">
        <v>42914</v>
      </c>
      <c r="L137" s="4"/>
      <c r="M137" s="2" t="s">
        <v>315</v>
      </c>
      <c r="N137" s="2" t="s">
        <v>29</v>
      </c>
      <c r="O137" s="2" t="s">
        <v>29</v>
      </c>
      <c r="P137" s="4">
        <v>18000</v>
      </c>
      <c r="Q137" s="4">
        <v>0</v>
      </c>
      <c r="R137" s="4">
        <v>0</v>
      </c>
      <c r="S137"/>
    </row>
    <row r="138" spans="2:19" x14ac:dyDescent="0.25">
      <c r="B138">
        <v>1</v>
      </c>
      <c r="C138" s="2" t="s">
        <v>22</v>
      </c>
      <c r="D138" s="2" t="s">
        <v>393</v>
      </c>
      <c r="E138" s="2" t="s">
        <v>394</v>
      </c>
      <c r="F138" s="2" t="s">
        <v>313</v>
      </c>
      <c r="G138" s="2" t="s">
        <v>17</v>
      </c>
      <c r="H138" s="2" t="s">
        <v>24</v>
      </c>
      <c r="I138" s="21">
        <v>1</v>
      </c>
      <c r="J138" s="1">
        <v>5565</v>
      </c>
      <c r="K138" s="3">
        <v>42914</v>
      </c>
      <c r="L138" s="4"/>
      <c r="M138" s="2" t="s">
        <v>315</v>
      </c>
      <c r="N138" s="2" t="s">
        <v>29</v>
      </c>
      <c r="O138" s="2" t="s">
        <v>29</v>
      </c>
      <c r="P138" s="4">
        <v>17000</v>
      </c>
      <c r="Q138" s="4">
        <v>0</v>
      </c>
      <c r="R138" s="4">
        <v>0</v>
      </c>
      <c r="S138"/>
    </row>
    <row r="139" spans="2:19" x14ac:dyDescent="0.25">
      <c r="B139">
        <v>1</v>
      </c>
      <c r="C139" s="2" t="s">
        <v>22</v>
      </c>
      <c r="D139" s="2" t="s">
        <v>395</v>
      </c>
      <c r="E139" s="2" t="s">
        <v>396</v>
      </c>
      <c r="F139" s="2" t="s">
        <v>313</v>
      </c>
      <c r="G139" s="2" t="s">
        <v>17</v>
      </c>
      <c r="H139" s="2" t="s">
        <v>24</v>
      </c>
      <c r="I139" s="21">
        <v>1</v>
      </c>
      <c r="J139" s="1">
        <v>5607</v>
      </c>
      <c r="K139" s="3">
        <v>42914</v>
      </c>
      <c r="L139" s="4"/>
      <c r="M139" s="2" t="s">
        <v>314</v>
      </c>
      <c r="N139" s="2" t="s">
        <v>315</v>
      </c>
      <c r="O139" s="2" t="s">
        <v>29</v>
      </c>
      <c r="P139" s="4">
        <v>18000</v>
      </c>
      <c r="Q139" s="4">
        <v>0</v>
      </c>
      <c r="R139" s="4">
        <v>0</v>
      </c>
      <c r="S139"/>
    </row>
    <row r="140" spans="2:19" x14ac:dyDescent="0.25">
      <c r="B140">
        <v>1</v>
      </c>
      <c r="C140" s="2" t="s">
        <v>22</v>
      </c>
      <c r="D140" s="2" t="s">
        <v>397</v>
      </c>
      <c r="E140" s="2" t="s">
        <v>398</v>
      </c>
      <c r="F140" s="2" t="s">
        <v>313</v>
      </c>
      <c r="G140" s="2" t="s">
        <v>17</v>
      </c>
      <c r="H140" s="2" t="s">
        <v>24</v>
      </c>
      <c r="I140" s="21">
        <v>1</v>
      </c>
      <c r="J140" s="1">
        <v>5570</v>
      </c>
      <c r="K140" s="3">
        <v>42914</v>
      </c>
      <c r="L140" s="4"/>
      <c r="M140" s="2" t="s">
        <v>314</v>
      </c>
      <c r="N140" s="2" t="s">
        <v>315</v>
      </c>
      <c r="O140" s="2" t="s">
        <v>29</v>
      </c>
      <c r="P140" s="4">
        <v>17000</v>
      </c>
      <c r="Q140" s="4">
        <v>0</v>
      </c>
      <c r="R140" s="4">
        <v>0</v>
      </c>
      <c r="S140"/>
    </row>
    <row r="141" spans="2:19" x14ac:dyDescent="0.25">
      <c r="B141">
        <v>1</v>
      </c>
      <c r="C141" s="2" t="s">
        <v>22</v>
      </c>
      <c r="D141" s="2" t="s">
        <v>399</v>
      </c>
      <c r="E141" s="2" t="s">
        <v>400</v>
      </c>
      <c r="F141" s="2" t="s">
        <v>313</v>
      </c>
      <c r="G141" s="2" t="s">
        <v>17</v>
      </c>
      <c r="H141" s="2" t="s">
        <v>24</v>
      </c>
      <c r="I141" s="21">
        <v>1</v>
      </c>
      <c r="J141" s="1">
        <v>5533</v>
      </c>
      <c r="K141" s="3">
        <v>42914</v>
      </c>
      <c r="L141" s="4"/>
      <c r="M141" s="2" t="s">
        <v>314</v>
      </c>
      <c r="N141" s="2" t="s">
        <v>315</v>
      </c>
      <c r="O141" s="2" t="s">
        <v>29</v>
      </c>
      <c r="P141" s="4">
        <v>17000</v>
      </c>
      <c r="Q141" s="4">
        <v>0</v>
      </c>
      <c r="R141" s="4">
        <v>0</v>
      </c>
      <c r="S141"/>
    </row>
    <row r="142" spans="2:19" x14ac:dyDescent="0.25">
      <c r="B142">
        <v>1</v>
      </c>
      <c r="C142" s="2" t="s">
        <v>22</v>
      </c>
      <c r="D142" s="2" t="s">
        <v>401</v>
      </c>
      <c r="E142" s="2" t="s">
        <v>402</v>
      </c>
      <c r="F142" s="2" t="s">
        <v>313</v>
      </c>
      <c r="G142" s="2" t="s">
        <v>17</v>
      </c>
      <c r="H142" s="2" t="s">
        <v>24</v>
      </c>
      <c r="I142" s="21">
        <v>1</v>
      </c>
      <c r="J142" s="1">
        <v>5653</v>
      </c>
      <c r="K142" s="3">
        <v>42914</v>
      </c>
      <c r="L142" s="4"/>
      <c r="M142" s="2" t="s">
        <v>314</v>
      </c>
      <c r="N142" s="2" t="s">
        <v>315</v>
      </c>
      <c r="O142" s="2" t="s">
        <v>29</v>
      </c>
      <c r="P142" s="4">
        <v>18000</v>
      </c>
      <c r="Q142" s="4">
        <v>0</v>
      </c>
      <c r="R142" s="4">
        <v>0</v>
      </c>
      <c r="S142"/>
    </row>
    <row r="143" spans="2:19" x14ac:dyDescent="0.25">
      <c r="B143">
        <v>1</v>
      </c>
      <c r="C143" s="2" t="s">
        <v>22</v>
      </c>
      <c r="D143" s="2" t="s">
        <v>403</v>
      </c>
      <c r="E143" s="2" t="s">
        <v>404</v>
      </c>
      <c r="F143" s="2" t="s">
        <v>313</v>
      </c>
      <c r="G143" s="2" t="s">
        <v>17</v>
      </c>
      <c r="H143" s="2" t="s">
        <v>24</v>
      </c>
      <c r="I143" s="21">
        <v>1</v>
      </c>
      <c r="J143" s="1">
        <v>5508</v>
      </c>
      <c r="K143" s="3">
        <v>42914</v>
      </c>
      <c r="L143" s="4"/>
      <c r="M143" s="2" t="s">
        <v>314</v>
      </c>
      <c r="N143" s="2" t="s">
        <v>315</v>
      </c>
      <c r="O143" s="2" t="s">
        <v>29</v>
      </c>
      <c r="P143" s="4">
        <v>17000</v>
      </c>
      <c r="Q143" s="4">
        <v>0</v>
      </c>
      <c r="R143" s="4">
        <v>0</v>
      </c>
      <c r="S143"/>
    </row>
    <row r="144" spans="2:19" x14ac:dyDescent="0.25">
      <c r="B144">
        <v>1</v>
      </c>
      <c r="C144" s="2" t="s">
        <v>22</v>
      </c>
      <c r="D144" s="2" t="s">
        <v>405</v>
      </c>
      <c r="E144" s="2" t="s">
        <v>406</v>
      </c>
      <c r="F144" s="2" t="s">
        <v>313</v>
      </c>
      <c r="G144" s="2" t="s">
        <v>17</v>
      </c>
      <c r="H144" s="2" t="s">
        <v>24</v>
      </c>
      <c r="I144" s="21">
        <v>1</v>
      </c>
      <c r="J144" s="1">
        <v>5610</v>
      </c>
      <c r="K144" s="3">
        <v>42914</v>
      </c>
      <c r="L144" s="4"/>
      <c r="M144" s="2" t="s">
        <v>314</v>
      </c>
      <c r="N144" s="2" t="s">
        <v>315</v>
      </c>
      <c r="O144" s="2" t="s">
        <v>29</v>
      </c>
      <c r="P144" s="4">
        <v>18000</v>
      </c>
      <c r="Q144" s="4">
        <v>0</v>
      </c>
      <c r="R144" s="4">
        <v>0</v>
      </c>
      <c r="S144"/>
    </row>
    <row r="145" spans="2:19" x14ac:dyDescent="0.25">
      <c r="B145">
        <v>1</v>
      </c>
      <c r="C145" s="2" t="s">
        <v>22</v>
      </c>
      <c r="D145" s="2" t="s">
        <v>407</v>
      </c>
      <c r="E145" s="2" t="s">
        <v>408</v>
      </c>
      <c r="F145" s="2" t="s">
        <v>313</v>
      </c>
      <c r="G145" s="2" t="s">
        <v>17</v>
      </c>
      <c r="H145" s="2" t="s">
        <v>24</v>
      </c>
      <c r="I145" s="21">
        <v>1</v>
      </c>
      <c r="J145" s="1">
        <v>5592</v>
      </c>
      <c r="K145" s="3">
        <v>42914</v>
      </c>
      <c r="L145" s="4"/>
      <c r="M145" s="2" t="s">
        <v>314</v>
      </c>
      <c r="N145" s="2" t="s">
        <v>315</v>
      </c>
      <c r="O145" s="2" t="s">
        <v>29</v>
      </c>
      <c r="P145" s="4">
        <v>18000</v>
      </c>
      <c r="Q145" s="4">
        <v>0</v>
      </c>
      <c r="R145" s="4">
        <v>0</v>
      </c>
      <c r="S145"/>
    </row>
    <row r="146" spans="2:19" x14ac:dyDescent="0.25">
      <c r="B146">
        <v>1</v>
      </c>
      <c r="C146" s="2" t="s">
        <v>22</v>
      </c>
      <c r="D146" s="2" t="s">
        <v>409</v>
      </c>
      <c r="E146" s="2" t="s">
        <v>410</v>
      </c>
      <c r="F146" s="2" t="s">
        <v>313</v>
      </c>
      <c r="G146" s="2" t="s">
        <v>17</v>
      </c>
      <c r="H146" s="2" t="s">
        <v>24</v>
      </c>
      <c r="I146" s="21">
        <v>1</v>
      </c>
      <c r="J146" s="1">
        <v>5534</v>
      </c>
      <c r="K146" s="3">
        <v>42914</v>
      </c>
      <c r="L146" s="4"/>
      <c r="M146" s="2" t="s">
        <v>314</v>
      </c>
      <c r="N146" s="2" t="s">
        <v>315</v>
      </c>
      <c r="O146" s="2" t="s">
        <v>29</v>
      </c>
      <c r="P146" s="4">
        <v>17000</v>
      </c>
      <c r="Q146" s="4">
        <v>0</v>
      </c>
      <c r="R146" s="4">
        <v>0</v>
      </c>
      <c r="S146"/>
    </row>
    <row r="147" spans="2:19" x14ac:dyDescent="0.25">
      <c r="B147">
        <v>1</v>
      </c>
      <c r="C147" s="2" t="s">
        <v>22</v>
      </c>
      <c r="D147" s="2" t="s">
        <v>411</v>
      </c>
      <c r="E147" s="2" t="s">
        <v>412</v>
      </c>
      <c r="F147" s="2" t="s">
        <v>313</v>
      </c>
      <c r="G147" s="2" t="s">
        <v>17</v>
      </c>
      <c r="H147" s="2" t="s">
        <v>24</v>
      </c>
      <c r="I147" s="21">
        <v>1</v>
      </c>
      <c r="J147" s="1">
        <v>7886</v>
      </c>
      <c r="K147" s="3">
        <v>42914</v>
      </c>
      <c r="L147" s="4"/>
      <c r="M147" s="2" t="s">
        <v>314</v>
      </c>
      <c r="N147" s="2" t="s">
        <v>315</v>
      </c>
      <c r="O147" s="2" t="s">
        <v>316</v>
      </c>
      <c r="P147" s="4">
        <v>21000</v>
      </c>
      <c r="Q147" s="4">
        <v>0</v>
      </c>
      <c r="R147" s="4">
        <v>0</v>
      </c>
      <c r="S147"/>
    </row>
    <row r="148" spans="2:19" x14ac:dyDescent="0.25">
      <c r="B148">
        <v>1</v>
      </c>
      <c r="C148" s="2" t="s">
        <v>22</v>
      </c>
      <c r="D148" s="2" t="s">
        <v>413</v>
      </c>
      <c r="E148" s="2" t="s">
        <v>414</v>
      </c>
      <c r="F148" s="2" t="s">
        <v>313</v>
      </c>
      <c r="G148" s="2" t="s">
        <v>17</v>
      </c>
      <c r="H148" s="2" t="s">
        <v>24</v>
      </c>
      <c r="I148" s="21">
        <v>1</v>
      </c>
      <c r="J148" s="1">
        <v>5690</v>
      </c>
      <c r="K148" s="3">
        <v>42914</v>
      </c>
      <c r="L148" s="4"/>
      <c r="M148" s="2" t="s">
        <v>314</v>
      </c>
      <c r="N148" s="2" t="s">
        <v>315</v>
      </c>
      <c r="O148" s="2" t="s">
        <v>316</v>
      </c>
      <c r="P148" s="4">
        <v>18000</v>
      </c>
      <c r="Q148" s="4">
        <v>0</v>
      </c>
      <c r="R148" s="4">
        <v>0</v>
      </c>
      <c r="S148"/>
    </row>
    <row r="149" spans="2:19" x14ac:dyDescent="0.25">
      <c r="B149">
        <v>1</v>
      </c>
      <c r="C149" s="2" t="s">
        <v>22</v>
      </c>
      <c r="D149" s="2" t="s">
        <v>415</v>
      </c>
      <c r="E149" s="2" t="s">
        <v>416</v>
      </c>
      <c r="F149" s="2" t="s">
        <v>313</v>
      </c>
      <c r="G149" s="2" t="s">
        <v>17</v>
      </c>
      <c r="H149" s="2" t="s">
        <v>24</v>
      </c>
      <c r="I149" s="21">
        <v>1</v>
      </c>
      <c r="J149" s="1">
        <v>5689</v>
      </c>
      <c r="K149" s="3">
        <v>42914</v>
      </c>
      <c r="L149" s="4"/>
      <c r="M149" s="2" t="s">
        <v>314</v>
      </c>
      <c r="N149" s="2" t="s">
        <v>315</v>
      </c>
      <c r="O149" s="2" t="s">
        <v>316</v>
      </c>
      <c r="P149" s="4">
        <v>18000</v>
      </c>
      <c r="Q149" s="4">
        <v>0</v>
      </c>
      <c r="R149" s="4">
        <v>0</v>
      </c>
      <c r="S149"/>
    </row>
    <row r="150" spans="2:19" x14ac:dyDescent="0.25">
      <c r="B150">
        <v>1</v>
      </c>
      <c r="C150" s="2" t="s">
        <v>22</v>
      </c>
      <c r="D150" s="2" t="s">
        <v>417</v>
      </c>
      <c r="E150" s="2" t="s">
        <v>418</v>
      </c>
      <c r="F150" s="2" t="s">
        <v>313</v>
      </c>
      <c r="G150" s="2" t="s">
        <v>17</v>
      </c>
      <c r="H150" s="2" t="s">
        <v>24</v>
      </c>
      <c r="I150" s="21">
        <v>1</v>
      </c>
      <c r="J150" s="1">
        <v>5660</v>
      </c>
      <c r="K150" s="3">
        <v>42914</v>
      </c>
      <c r="L150" s="4"/>
      <c r="M150" s="2" t="s">
        <v>314</v>
      </c>
      <c r="N150" s="2" t="s">
        <v>315</v>
      </c>
      <c r="O150" s="2" t="s">
        <v>316</v>
      </c>
      <c r="P150" s="4">
        <v>18000</v>
      </c>
      <c r="Q150" s="4">
        <v>0</v>
      </c>
      <c r="R150" s="4">
        <v>0</v>
      </c>
      <c r="S150"/>
    </row>
    <row r="151" spans="2:19" x14ac:dyDescent="0.25">
      <c r="B151">
        <v>1</v>
      </c>
      <c r="C151" s="2" t="s">
        <v>22</v>
      </c>
      <c r="D151" s="2" t="s">
        <v>419</v>
      </c>
      <c r="E151" s="2" t="s">
        <v>420</v>
      </c>
      <c r="F151" s="2" t="s">
        <v>313</v>
      </c>
      <c r="G151" s="2" t="s">
        <v>17</v>
      </c>
      <c r="H151" s="2" t="s">
        <v>24</v>
      </c>
      <c r="I151" s="21">
        <v>1</v>
      </c>
      <c r="J151" s="1">
        <v>5727</v>
      </c>
      <c r="K151" s="3">
        <v>42914</v>
      </c>
      <c r="L151" s="4"/>
      <c r="M151" s="2" t="s">
        <v>314</v>
      </c>
      <c r="N151" s="2" t="s">
        <v>315</v>
      </c>
      <c r="O151" s="2" t="s">
        <v>316</v>
      </c>
      <c r="P151" s="4">
        <v>18000</v>
      </c>
      <c r="Q151" s="4">
        <v>0</v>
      </c>
      <c r="R151" s="4">
        <v>0</v>
      </c>
      <c r="S151"/>
    </row>
    <row r="152" spans="2:19" x14ac:dyDescent="0.25">
      <c r="B152">
        <v>1</v>
      </c>
      <c r="C152" s="2" t="s">
        <v>22</v>
      </c>
      <c r="D152" s="2" t="s">
        <v>421</v>
      </c>
      <c r="E152" s="2" t="s">
        <v>422</v>
      </c>
      <c r="F152" s="2" t="s">
        <v>313</v>
      </c>
      <c r="G152" s="2" t="s">
        <v>17</v>
      </c>
      <c r="H152" s="2" t="s">
        <v>24</v>
      </c>
      <c r="I152" s="21">
        <v>1</v>
      </c>
      <c r="J152" s="1">
        <v>5648</v>
      </c>
      <c r="K152" s="3">
        <v>42914</v>
      </c>
      <c r="L152" s="4"/>
      <c r="M152" s="2" t="s">
        <v>314</v>
      </c>
      <c r="N152" s="2" t="s">
        <v>315</v>
      </c>
      <c r="O152" s="2" t="s">
        <v>316</v>
      </c>
      <c r="P152" s="4">
        <v>18000</v>
      </c>
      <c r="Q152" s="4">
        <v>0</v>
      </c>
      <c r="R152" s="4">
        <v>0</v>
      </c>
      <c r="S152"/>
    </row>
    <row r="153" spans="2:19" x14ac:dyDescent="0.25">
      <c r="B153">
        <v>1</v>
      </c>
      <c r="C153" s="2" t="s">
        <v>22</v>
      </c>
      <c r="D153" s="2" t="s">
        <v>423</v>
      </c>
      <c r="E153" s="2" t="s">
        <v>424</v>
      </c>
      <c r="F153" s="2" t="s">
        <v>313</v>
      </c>
      <c r="G153" s="2" t="s">
        <v>17</v>
      </c>
      <c r="H153" s="2" t="s">
        <v>24</v>
      </c>
      <c r="I153" s="21">
        <v>1</v>
      </c>
      <c r="J153" s="1">
        <v>6638</v>
      </c>
      <c r="K153" s="3">
        <v>42914</v>
      </c>
      <c r="L153" s="4"/>
      <c r="M153" s="2" t="s">
        <v>314</v>
      </c>
      <c r="N153" s="2" t="s">
        <v>315</v>
      </c>
      <c r="O153" s="2" t="s">
        <v>316</v>
      </c>
      <c r="P153" s="4">
        <v>19000</v>
      </c>
      <c r="Q153" s="4">
        <v>0</v>
      </c>
      <c r="R153" s="4">
        <v>0</v>
      </c>
      <c r="S153"/>
    </row>
    <row r="154" spans="2:19" x14ac:dyDescent="0.25">
      <c r="B154">
        <v>1</v>
      </c>
      <c r="C154" s="2" t="s">
        <v>22</v>
      </c>
      <c r="D154" s="2" t="s">
        <v>425</v>
      </c>
      <c r="E154" s="2" t="s">
        <v>426</v>
      </c>
      <c r="F154" s="2" t="s">
        <v>313</v>
      </c>
      <c r="G154" s="2" t="s">
        <v>17</v>
      </c>
      <c r="H154" s="2" t="s">
        <v>24</v>
      </c>
      <c r="I154" s="21">
        <v>1</v>
      </c>
      <c r="J154" s="1">
        <v>6553</v>
      </c>
      <c r="K154" s="3">
        <v>42914</v>
      </c>
      <c r="L154" s="4"/>
      <c r="M154" s="2" t="s">
        <v>314</v>
      </c>
      <c r="N154" s="2" t="s">
        <v>315</v>
      </c>
      <c r="O154" s="2" t="s">
        <v>29</v>
      </c>
      <c r="P154" s="4">
        <v>19000</v>
      </c>
      <c r="Q154" s="4">
        <v>0</v>
      </c>
      <c r="R154" s="4">
        <v>0</v>
      </c>
      <c r="S154"/>
    </row>
    <row r="155" spans="2:19" x14ac:dyDescent="0.25">
      <c r="B155">
        <v>1</v>
      </c>
      <c r="C155" s="2" t="s">
        <v>22</v>
      </c>
      <c r="D155" s="2" t="s">
        <v>427</v>
      </c>
      <c r="E155" s="2" t="s">
        <v>428</v>
      </c>
      <c r="F155" s="2" t="s">
        <v>313</v>
      </c>
      <c r="G155" s="2" t="s">
        <v>17</v>
      </c>
      <c r="H155" s="2" t="s">
        <v>24</v>
      </c>
      <c r="I155" s="21">
        <v>1</v>
      </c>
      <c r="J155" s="1">
        <v>5635</v>
      </c>
      <c r="K155" s="3">
        <v>42914</v>
      </c>
      <c r="L155" s="4"/>
      <c r="M155" s="2" t="s">
        <v>314</v>
      </c>
      <c r="N155" s="2" t="s">
        <v>315</v>
      </c>
      <c r="O155" s="2" t="s">
        <v>29</v>
      </c>
      <c r="P155" s="4">
        <v>18000</v>
      </c>
      <c r="Q155" s="4">
        <v>0</v>
      </c>
      <c r="R155" s="4">
        <v>0</v>
      </c>
      <c r="S155"/>
    </row>
    <row r="156" spans="2:19" x14ac:dyDescent="0.25">
      <c r="B156">
        <v>1</v>
      </c>
      <c r="C156" s="2" t="s">
        <v>22</v>
      </c>
      <c r="D156" s="2" t="s">
        <v>429</v>
      </c>
      <c r="E156" s="2" t="s">
        <v>430</v>
      </c>
      <c r="F156" s="2" t="s">
        <v>313</v>
      </c>
      <c r="G156" s="2" t="s">
        <v>17</v>
      </c>
      <c r="H156" s="2" t="s">
        <v>24</v>
      </c>
      <c r="I156" s="21">
        <v>1</v>
      </c>
      <c r="J156" s="1">
        <v>6522</v>
      </c>
      <c r="K156" s="3">
        <v>42914</v>
      </c>
      <c r="L156" s="4"/>
      <c r="M156" s="2" t="s">
        <v>314</v>
      </c>
      <c r="N156" s="2" t="s">
        <v>315</v>
      </c>
      <c r="O156" s="2" t="s">
        <v>29</v>
      </c>
      <c r="P156" s="4">
        <v>19000</v>
      </c>
      <c r="Q156" s="4">
        <v>0</v>
      </c>
      <c r="R156" s="4">
        <v>0</v>
      </c>
      <c r="S156"/>
    </row>
    <row r="157" spans="2:19" x14ac:dyDescent="0.25">
      <c r="B157">
        <v>1</v>
      </c>
      <c r="C157" s="2" t="s">
        <v>22</v>
      </c>
      <c r="D157" s="2" t="s">
        <v>431</v>
      </c>
      <c r="E157" s="2" t="s">
        <v>432</v>
      </c>
      <c r="F157" s="2" t="s">
        <v>313</v>
      </c>
      <c r="G157" s="2" t="s">
        <v>17</v>
      </c>
      <c r="H157" s="2" t="s">
        <v>24</v>
      </c>
      <c r="I157" s="21">
        <v>1</v>
      </c>
      <c r="J157" s="1">
        <v>6771</v>
      </c>
      <c r="K157" s="3">
        <v>42914</v>
      </c>
      <c r="L157" s="4"/>
      <c r="M157" s="2" t="s">
        <v>314</v>
      </c>
      <c r="N157" s="2" t="s">
        <v>315</v>
      </c>
      <c r="O157" s="2" t="s">
        <v>29</v>
      </c>
      <c r="P157" s="4">
        <v>19000</v>
      </c>
      <c r="Q157" s="4">
        <v>0</v>
      </c>
      <c r="R157" s="4">
        <v>0</v>
      </c>
      <c r="S157"/>
    </row>
    <row r="158" spans="2:19" x14ac:dyDescent="0.25">
      <c r="B158">
        <v>1</v>
      </c>
      <c r="C158" s="2" t="s">
        <v>22</v>
      </c>
      <c r="D158" s="2" t="s">
        <v>433</v>
      </c>
      <c r="E158" s="2" t="s">
        <v>434</v>
      </c>
      <c r="F158" s="2" t="s">
        <v>313</v>
      </c>
      <c r="G158" s="2" t="s">
        <v>17</v>
      </c>
      <c r="H158" s="2" t="s">
        <v>24</v>
      </c>
      <c r="I158" s="21">
        <v>1</v>
      </c>
      <c r="J158" s="1">
        <v>5649</v>
      </c>
      <c r="K158" s="3">
        <v>42914</v>
      </c>
      <c r="L158" s="4"/>
      <c r="M158" s="2" t="s">
        <v>314</v>
      </c>
      <c r="N158" s="2" t="s">
        <v>315</v>
      </c>
      <c r="O158" s="2" t="s">
        <v>29</v>
      </c>
      <c r="P158" s="4">
        <v>18000</v>
      </c>
      <c r="Q158" s="4">
        <v>0</v>
      </c>
      <c r="R158" s="4">
        <v>0</v>
      </c>
      <c r="S158"/>
    </row>
    <row r="159" spans="2:19" x14ac:dyDescent="0.25">
      <c r="B159">
        <v>1</v>
      </c>
      <c r="C159" s="2" t="s">
        <v>22</v>
      </c>
      <c r="D159" s="2" t="s">
        <v>435</v>
      </c>
      <c r="E159" s="2" t="s">
        <v>436</v>
      </c>
      <c r="F159" s="2" t="s">
        <v>313</v>
      </c>
      <c r="G159" s="2" t="s">
        <v>17</v>
      </c>
      <c r="H159" s="2" t="s">
        <v>24</v>
      </c>
      <c r="I159" s="21">
        <v>1</v>
      </c>
      <c r="J159" s="1">
        <v>5748</v>
      </c>
      <c r="K159" s="3">
        <v>42914</v>
      </c>
      <c r="L159" s="4"/>
      <c r="M159" s="2" t="s">
        <v>314</v>
      </c>
      <c r="N159" s="2" t="s">
        <v>315</v>
      </c>
      <c r="O159" s="2" t="s">
        <v>29</v>
      </c>
      <c r="P159" s="4">
        <v>18000</v>
      </c>
      <c r="Q159" s="4">
        <v>0</v>
      </c>
      <c r="R159" s="4">
        <v>0</v>
      </c>
      <c r="S159"/>
    </row>
    <row r="160" spans="2:19" x14ac:dyDescent="0.25">
      <c r="B160">
        <v>1</v>
      </c>
      <c r="C160" s="2" t="s">
        <v>22</v>
      </c>
      <c r="D160" s="2" t="s">
        <v>437</v>
      </c>
      <c r="E160" s="2" t="s">
        <v>438</v>
      </c>
      <c r="F160" s="2" t="s">
        <v>313</v>
      </c>
      <c r="G160" s="2" t="s">
        <v>17</v>
      </c>
      <c r="H160" s="2" t="s">
        <v>24</v>
      </c>
      <c r="I160" s="21">
        <v>1</v>
      </c>
      <c r="J160" s="1">
        <v>6584</v>
      </c>
      <c r="K160" s="3">
        <v>42914</v>
      </c>
      <c r="L160" s="4"/>
      <c r="M160" s="2" t="s">
        <v>314</v>
      </c>
      <c r="N160" s="2" t="s">
        <v>315</v>
      </c>
      <c r="O160" s="2" t="s">
        <v>29</v>
      </c>
      <c r="P160" s="4">
        <v>19000</v>
      </c>
      <c r="Q160" s="4">
        <v>0</v>
      </c>
      <c r="R160" s="4">
        <v>0</v>
      </c>
      <c r="S160"/>
    </row>
    <row r="161" spans="2:19" x14ac:dyDescent="0.25">
      <c r="B161">
        <v>1</v>
      </c>
      <c r="C161" s="2" t="s">
        <v>22</v>
      </c>
      <c r="D161" s="2" t="s">
        <v>439</v>
      </c>
      <c r="E161" s="2" t="s">
        <v>440</v>
      </c>
      <c r="F161" s="2" t="s">
        <v>313</v>
      </c>
      <c r="G161" s="2" t="s">
        <v>17</v>
      </c>
      <c r="H161" s="2" t="s">
        <v>24</v>
      </c>
      <c r="I161" s="21">
        <v>1</v>
      </c>
      <c r="J161" s="1">
        <v>7342</v>
      </c>
      <c r="K161" s="3">
        <v>42914</v>
      </c>
      <c r="L161" s="4"/>
      <c r="M161" s="2" t="s">
        <v>314</v>
      </c>
      <c r="N161" s="2" t="s">
        <v>315</v>
      </c>
      <c r="O161" s="2" t="s">
        <v>29</v>
      </c>
      <c r="P161" s="4">
        <v>20000</v>
      </c>
      <c r="Q161" s="4">
        <v>0</v>
      </c>
      <c r="R161" s="4">
        <v>0</v>
      </c>
      <c r="S161"/>
    </row>
    <row r="162" spans="2:19" x14ac:dyDescent="0.25">
      <c r="B162">
        <v>1</v>
      </c>
      <c r="C162" s="2" t="s">
        <v>22</v>
      </c>
      <c r="D162" s="2" t="s">
        <v>441</v>
      </c>
      <c r="E162" s="2" t="s">
        <v>442</v>
      </c>
      <c r="F162" s="2" t="s">
        <v>313</v>
      </c>
      <c r="G162" s="2" t="s">
        <v>17</v>
      </c>
      <c r="H162" s="2" t="s">
        <v>24</v>
      </c>
      <c r="I162" s="21">
        <v>1</v>
      </c>
      <c r="J162" s="1">
        <v>6157</v>
      </c>
      <c r="K162" s="3">
        <v>42914</v>
      </c>
      <c r="L162" s="4"/>
      <c r="M162" s="2" t="s">
        <v>314</v>
      </c>
      <c r="N162" s="2" t="s">
        <v>315</v>
      </c>
      <c r="O162" s="2" t="s">
        <v>29</v>
      </c>
      <c r="P162" s="4">
        <v>18000</v>
      </c>
      <c r="Q162" s="4">
        <v>0</v>
      </c>
      <c r="R162" s="4">
        <v>0</v>
      </c>
      <c r="S162"/>
    </row>
    <row r="163" spans="2:19" x14ac:dyDescent="0.25">
      <c r="B163">
        <v>1</v>
      </c>
      <c r="C163" s="2" t="s">
        <v>22</v>
      </c>
      <c r="D163" s="2" t="s">
        <v>443</v>
      </c>
      <c r="E163" s="2" t="s">
        <v>444</v>
      </c>
      <c r="F163" s="2" t="s">
        <v>313</v>
      </c>
      <c r="G163" s="2" t="s">
        <v>17</v>
      </c>
      <c r="H163" s="2" t="s">
        <v>24</v>
      </c>
      <c r="I163" s="21">
        <v>1</v>
      </c>
      <c r="J163" s="1">
        <v>6195</v>
      </c>
      <c r="K163" s="3">
        <v>42914</v>
      </c>
      <c r="L163" s="4"/>
      <c r="M163" s="2" t="s">
        <v>314</v>
      </c>
      <c r="N163" s="2" t="s">
        <v>315</v>
      </c>
      <c r="O163" s="2" t="s">
        <v>29</v>
      </c>
      <c r="P163" s="4">
        <v>18000</v>
      </c>
      <c r="Q163" s="4">
        <v>0</v>
      </c>
      <c r="R163" s="4">
        <v>0</v>
      </c>
      <c r="S163"/>
    </row>
    <row r="164" spans="2:19" x14ac:dyDescent="0.25">
      <c r="B164">
        <v>1</v>
      </c>
      <c r="C164" s="2" t="s">
        <v>22</v>
      </c>
      <c r="D164" s="2" t="s">
        <v>445</v>
      </c>
      <c r="E164" s="2" t="s">
        <v>446</v>
      </c>
      <c r="F164" s="2" t="s">
        <v>313</v>
      </c>
      <c r="G164" s="2" t="s">
        <v>17</v>
      </c>
      <c r="H164" s="2" t="s">
        <v>24</v>
      </c>
      <c r="I164" s="21">
        <v>1</v>
      </c>
      <c r="J164" s="1">
        <v>7413</v>
      </c>
      <c r="K164" s="3">
        <v>42914</v>
      </c>
      <c r="L164" s="4"/>
      <c r="M164" s="2" t="s">
        <v>314</v>
      </c>
      <c r="N164" s="2" t="s">
        <v>315</v>
      </c>
      <c r="O164" s="2" t="s">
        <v>29</v>
      </c>
      <c r="P164" s="4">
        <v>20000</v>
      </c>
      <c r="Q164" s="4">
        <v>0</v>
      </c>
      <c r="R164" s="4">
        <v>0</v>
      </c>
      <c r="S164"/>
    </row>
    <row r="165" spans="2:19" x14ac:dyDescent="0.25">
      <c r="B165">
        <v>1</v>
      </c>
      <c r="C165" s="2" t="s">
        <v>22</v>
      </c>
      <c r="D165" s="2" t="s">
        <v>447</v>
      </c>
      <c r="E165" s="2" t="s">
        <v>448</v>
      </c>
      <c r="F165" s="2" t="s">
        <v>313</v>
      </c>
      <c r="G165" s="2" t="s">
        <v>17</v>
      </c>
      <c r="H165" s="2" t="s">
        <v>24</v>
      </c>
      <c r="I165" s="21">
        <v>1</v>
      </c>
      <c r="J165" s="1">
        <v>7289</v>
      </c>
      <c r="K165" s="3">
        <v>42914</v>
      </c>
      <c r="L165" s="4"/>
      <c r="M165" s="2" t="s">
        <v>314</v>
      </c>
      <c r="N165" s="2" t="s">
        <v>315</v>
      </c>
      <c r="O165" s="2" t="s">
        <v>29</v>
      </c>
      <c r="P165" s="4">
        <v>20000</v>
      </c>
      <c r="Q165" s="4">
        <v>0</v>
      </c>
      <c r="R165" s="4">
        <v>0</v>
      </c>
      <c r="S165"/>
    </row>
    <row r="166" spans="2:19" x14ac:dyDescent="0.25">
      <c r="B166">
        <v>1</v>
      </c>
      <c r="C166" s="2" t="s">
        <v>22</v>
      </c>
      <c r="D166" s="2" t="s">
        <v>449</v>
      </c>
      <c r="E166" s="2" t="s">
        <v>450</v>
      </c>
      <c r="F166" s="2" t="s">
        <v>313</v>
      </c>
      <c r="G166" s="2" t="s">
        <v>17</v>
      </c>
      <c r="H166" s="2" t="s">
        <v>24</v>
      </c>
      <c r="I166" s="21">
        <v>1</v>
      </c>
      <c r="J166" s="1">
        <v>6183</v>
      </c>
      <c r="K166" s="3">
        <v>42914</v>
      </c>
      <c r="L166" s="4"/>
      <c r="M166" s="2" t="s">
        <v>314</v>
      </c>
      <c r="N166" s="2" t="s">
        <v>315</v>
      </c>
      <c r="O166" s="2" t="s">
        <v>29</v>
      </c>
      <c r="P166" s="4">
        <v>18000</v>
      </c>
      <c r="Q166" s="4">
        <v>0</v>
      </c>
      <c r="R166" s="4">
        <v>0</v>
      </c>
      <c r="S166"/>
    </row>
    <row r="167" spans="2:19" x14ac:dyDescent="0.25">
      <c r="B167">
        <v>1</v>
      </c>
      <c r="C167" s="2" t="s">
        <v>22</v>
      </c>
      <c r="D167" s="2" t="s">
        <v>451</v>
      </c>
      <c r="E167" s="2" t="s">
        <v>452</v>
      </c>
      <c r="F167" s="2" t="s">
        <v>313</v>
      </c>
      <c r="G167" s="2" t="s">
        <v>17</v>
      </c>
      <c r="H167" s="2" t="s">
        <v>24</v>
      </c>
      <c r="I167" s="21">
        <v>1</v>
      </c>
      <c r="J167" s="1">
        <v>7062</v>
      </c>
      <c r="K167" s="3">
        <v>42914</v>
      </c>
      <c r="L167" s="4"/>
      <c r="M167" s="2" t="s">
        <v>314</v>
      </c>
      <c r="N167" s="2" t="s">
        <v>315</v>
      </c>
      <c r="O167" s="2" t="s">
        <v>29</v>
      </c>
      <c r="P167" s="4">
        <v>20000</v>
      </c>
      <c r="Q167" s="4">
        <v>0</v>
      </c>
      <c r="R167" s="4">
        <v>0</v>
      </c>
      <c r="S167"/>
    </row>
    <row r="168" spans="2:19" x14ac:dyDescent="0.25">
      <c r="B168">
        <v>1</v>
      </c>
      <c r="C168" s="2" t="s">
        <v>22</v>
      </c>
      <c r="D168" s="2" t="s">
        <v>453</v>
      </c>
      <c r="E168" s="2" t="s">
        <v>454</v>
      </c>
      <c r="F168" s="2" t="s">
        <v>313</v>
      </c>
      <c r="G168" s="2" t="s">
        <v>17</v>
      </c>
      <c r="H168" s="2" t="s">
        <v>24</v>
      </c>
      <c r="I168" s="21">
        <v>1</v>
      </c>
      <c r="J168" s="1">
        <v>9716</v>
      </c>
      <c r="K168" s="3">
        <v>42914</v>
      </c>
      <c r="L168" s="4"/>
      <c r="M168" s="2" t="s">
        <v>314</v>
      </c>
      <c r="N168" s="2" t="s">
        <v>315</v>
      </c>
      <c r="O168" s="2" t="s">
        <v>316</v>
      </c>
      <c r="P168" s="4">
        <v>23000</v>
      </c>
      <c r="Q168" s="4">
        <v>0</v>
      </c>
      <c r="R168" s="4">
        <v>0</v>
      </c>
      <c r="S168"/>
    </row>
    <row r="169" spans="2:19" x14ac:dyDescent="0.25">
      <c r="B169">
        <v>1</v>
      </c>
      <c r="C169" s="2" t="s">
        <v>22</v>
      </c>
      <c r="D169" s="2" t="s">
        <v>455</v>
      </c>
      <c r="E169" s="2" t="s">
        <v>456</v>
      </c>
      <c r="F169" s="2" t="s">
        <v>313</v>
      </c>
      <c r="G169" s="2" t="s">
        <v>17</v>
      </c>
      <c r="H169" s="2" t="s">
        <v>24</v>
      </c>
      <c r="I169" s="21">
        <v>1</v>
      </c>
      <c r="J169" s="1">
        <v>6182</v>
      </c>
      <c r="K169" s="3">
        <v>42914</v>
      </c>
      <c r="L169" s="4"/>
      <c r="M169" s="2" t="s">
        <v>314</v>
      </c>
      <c r="N169" s="2" t="s">
        <v>315</v>
      </c>
      <c r="O169" s="2" t="s">
        <v>316</v>
      </c>
      <c r="P169" s="4">
        <v>18000</v>
      </c>
      <c r="Q169" s="4">
        <v>0</v>
      </c>
      <c r="R169" s="4">
        <v>0</v>
      </c>
      <c r="S169"/>
    </row>
    <row r="170" spans="2:19" x14ac:dyDescent="0.25">
      <c r="B170">
        <v>1</v>
      </c>
      <c r="C170" s="2" t="s">
        <v>22</v>
      </c>
      <c r="D170" s="2" t="s">
        <v>457</v>
      </c>
      <c r="E170" s="2" t="s">
        <v>458</v>
      </c>
      <c r="F170" s="2" t="s">
        <v>313</v>
      </c>
      <c r="G170" s="2" t="s">
        <v>17</v>
      </c>
      <c r="H170" s="2" t="s">
        <v>24</v>
      </c>
      <c r="I170" s="21">
        <v>1</v>
      </c>
      <c r="J170" s="1">
        <v>7673</v>
      </c>
      <c r="K170" s="3">
        <v>42914</v>
      </c>
      <c r="L170" s="4"/>
      <c r="M170" s="2" t="s">
        <v>314</v>
      </c>
      <c r="N170" s="2" t="s">
        <v>315</v>
      </c>
      <c r="O170" s="2" t="s">
        <v>316</v>
      </c>
      <c r="P170" s="4">
        <v>21000</v>
      </c>
      <c r="Q170" s="4">
        <v>0</v>
      </c>
      <c r="R170" s="4">
        <v>0</v>
      </c>
      <c r="S170"/>
    </row>
    <row r="171" spans="2:19" x14ac:dyDescent="0.25">
      <c r="B171">
        <v>1</v>
      </c>
      <c r="C171" s="2" t="s">
        <v>22</v>
      </c>
      <c r="D171" s="2" t="s">
        <v>459</v>
      </c>
      <c r="E171" s="2" t="s">
        <v>460</v>
      </c>
      <c r="F171" s="2" t="s">
        <v>313</v>
      </c>
      <c r="G171" s="2" t="s">
        <v>17</v>
      </c>
      <c r="H171" s="2" t="s">
        <v>24</v>
      </c>
      <c r="I171" s="21">
        <v>1</v>
      </c>
      <c r="J171" s="1">
        <v>7412</v>
      </c>
      <c r="K171" s="3">
        <v>42914</v>
      </c>
      <c r="L171" s="4"/>
      <c r="M171" s="2" t="s">
        <v>314</v>
      </c>
      <c r="N171" s="2" t="s">
        <v>315</v>
      </c>
      <c r="O171" s="2" t="s">
        <v>316</v>
      </c>
      <c r="P171" s="4">
        <v>20000</v>
      </c>
      <c r="Q171" s="4">
        <v>0</v>
      </c>
      <c r="R171" s="4">
        <v>0</v>
      </c>
      <c r="S171"/>
    </row>
    <row r="172" spans="2:19" x14ac:dyDescent="0.25">
      <c r="B172">
        <v>1</v>
      </c>
      <c r="C172" s="2" t="s">
        <v>22</v>
      </c>
      <c r="D172" s="2" t="s">
        <v>461</v>
      </c>
      <c r="E172" s="2" t="s">
        <v>462</v>
      </c>
      <c r="F172" s="2" t="s">
        <v>313</v>
      </c>
      <c r="G172" s="2" t="s">
        <v>17</v>
      </c>
      <c r="H172" s="2" t="s">
        <v>24</v>
      </c>
      <c r="I172" s="21">
        <v>1</v>
      </c>
      <c r="J172" s="1">
        <v>6213</v>
      </c>
      <c r="K172" s="3">
        <v>42914</v>
      </c>
      <c r="L172" s="4"/>
      <c r="M172" s="2" t="s">
        <v>314</v>
      </c>
      <c r="N172" s="2" t="s">
        <v>315</v>
      </c>
      <c r="O172" s="2" t="s">
        <v>316</v>
      </c>
      <c r="P172" s="4">
        <v>18000</v>
      </c>
      <c r="Q172" s="4">
        <v>0</v>
      </c>
      <c r="R172" s="4">
        <v>0</v>
      </c>
      <c r="S172"/>
    </row>
    <row r="173" spans="2:19" x14ac:dyDescent="0.25">
      <c r="B173">
        <v>1</v>
      </c>
      <c r="C173" s="2" t="s">
        <v>22</v>
      </c>
      <c r="D173" s="2" t="s">
        <v>463</v>
      </c>
      <c r="E173" s="2" t="s">
        <v>464</v>
      </c>
      <c r="F173" s="2" t="s">
        <v>313</v>
      </c>
      <c r="G173" s="2" t="s">
        <v>17</v>
      </c>
      <c r="H173" s="2" t="s">
        <v>24</v>
      </c>
      <c r="I173" s="21">
        <v>1</v>
      </c>
      <c r="J173" s="1">
        <v>6166</v>
      </c>
      <c r="K173" s="3">
        <v>42914</v>
      </c>
      <c r="L173" s="4"/>
      <c r="M173" s="2" t="s">
        <v>314</v>
      </c>
      <c r="N173" s="2" t="s">
        <v>315</v>
      </c>
      <c r="O173" s="2" t="s">
        <v>316</v>
      </c>
      <c r="P173" s="4">
        <v>18000</v>
      </c>
      <c r="Q173" s="4">
        <v>0</v>
      </c>
      <c r="R173" s="4">
        <v>0</v>
      </c>
      <c r="S173"/>
    </row>
    <row r="174" spans="2:19" x14ac:dyDescent="0.25">
      <c r="B174">
        <v>1</v>
      </c>
      <c r="C174" s="2" t="s">
        <v>22</v>
      </c>
      <c r="D174" s="2" t="s">
        <v>465</v>
      </c>
      <c r="E174" s="2" t="s">
        <v>466</v>
      </c>
      <c r="F174" s="2" t="s">
        <v>313</v>
      </c>
      <c r="G174" s="2" t="s">
        <v>17</v>
      </c>
      <c r="H174" s="2" t="s">
        <v>24</v>
      </c>
      <c r="I174" s="21">
        <v>1</v>
      </c>
      <c r="J174" s="1">
        <v>7287</v>
      </c>
      <c r="K174" s="3">
        <v>42914</v>
      </c>
      <c r="L174" s="4"/>
      <c r="M174" s="2" t="s">
        <v>314</v>
      </c>
      <c r="N174" s="2" t="s">
        <v>315</v>
      </c>
      <c r="O174" s="2" t="s">
        <v>316</v>
      </c>
      <c r="P174" s="4">
        <v>20000</v>
      </c>
      <c r="Q174" s="4">
        <v>0</v>
      </c>
      <c r="R174" s="4">
        <v>0</v>
      </c>
      <c r="S174"/>
    </row>
    <row r="175" spans="2:19" x14ac:dyDescent="0.25">
      <c r="B175">
        <v>1</v>
      </c>
      <c r="C175" s="2" t="s">
        <v>22</v>
      </c>
      <c r="D175" s="2" t="s">
        <v>467</v>
      </c>
      <c r="E175" s="2" t="s">
        <v>468</v>
      </c>
      <c r="F175" s="2" t="s">
        <v>313</v>
      </c>
      <c r="G175" s="2" t="s">
        <v>17</v>
      </c>
      <c r="H175" s="2" t="s">
        <v>24</v>
      </c>
      <c r="I175" s="21">
        <v>1</v>
      </c>
      <c r="J175" s="1">
        <v>6630</v>
      </c>
      <c r="K175" s="3">
        <v>42914</v>
      </c>
      <c r="L175" s="4"/>
      <c r="M175" s="2" t="s">
        <v>314</v>
      </c>
      <c r="N175" s="2" t="s">
        <v>315</v>
      </c>
      <c r="O175" s="2" t="s">
        <v>316</v>
      </c>
      <c r="P175" s="4">
        <v>19000</v>
      </c>
      <c r="Q175" s="4">
        <v>0</v>
      </c>
      <c r="R175" s="4">
        <v>0</v>
      </c>
      <c r="S175"/>
    </row>
    <row r="176" spans="2:19" x14ac:dyDescent="0.25">
      <c r="B176">
        <v>1</v>
      </c>
      <c r="C176" s="2" t="s">
        <v>22</v>
      </c>
      <c r="D176" s="2" t="s">
        <v>469</v>
      </c>
      <c r="E176" s="2" t="s">
        <v>470</v>
      </c>
      <c r="F176" s="2" t="s">
        <v>313</v>
      </c>
      <c r="G176" s="2" t="s">
        <v>17</v>
      </c>
      <c r="H176" s="2" t="s">
        <v>24</v>
      </c>
      <c r="I176" s="21">
        <v>1</v>
      </c>
      <c r="J176" s="1">
        <v>5671</v>
      </c>
      <c r="K176" s="3">
        <v>42914</v>
      </c>
      <c r="L176" s="4"/>
      <c r="M176" s="2" t="s">
        <v>314</v>
      </c>
      <c r="N176" s="2" t="s">
        <v>315</v>
      </c>
      <c r="O176" s="2" t="s">
        <v>316</v>
      </c>
      <c r="P176" s="4">
        <v>18000</v>
      </c>
      <c r="Q176" s="4">
        <v>0</v>
      </c>
      <c r="R176" s="4">
        <v>0</v>
      </c>
      <c r="S176"/>
    </row>
    <row r="177" spans="2:19" x14ac:dyDescent="0.25">
      <c r="B177">
        <v>1</v>
      </c>
      <c r="C177" s="2" t="s">
        <v>22</v>
      </c>
      <c r="D177" s="2" t="s">
        <v>471</v>
      </c>
      <c r="E177" s="2" t="s">
        <v>472</v>
      </c>
      <c r="F177" s="2" t="s">
        <v>313</v>
      </c>
      <c r="G177" s="2" t="s">
        <v>17</v>
      </c>
      <c r="H177" s="2" t="s">
        <v>24</v>
      </c>
      <c r="I177" s="21">
        <v>1</v>
      </c>
      <c r="J177" s="1">
        <v>5707</v>
      </c>
      <c r="K177" s="3">
        <v>42914</v>
      </c>
      <c r="L177" s="4"/>
      <c r="M177" s="2" t="s">
        <v>314</v>
      </c>
      <c r="N177" s="2" t="s">
        <v>315</v>
      </c>
      <c r="O177" s="2" t="s">
        <v>316</v>
      </c>
      <c r="P177" s="4">
        <v>18000</v>
      </c>
      <c r="Q177" s="4">
        <v>0</v>
      </c>
      <c r="R177" s="4">
        <v>0</v>
      </c>
      <c r="S177"/>
    </row>
    <row r="178" spans="2:19" x14ac:dyDescent="0.25">
      <c r="B178">
        <v>1</v>
      </c>
      <c r="C178" s="2" t="s">
        <v>22</v>
      </c>
      <c r="D178" s="2" t="s">
        <v>473</v>
      </c>
      <c r="E178" s="2" t="s">
        <v>474</v>
      </c>
      <c r="F178" s="2" t="s">
        <v>313</v>
      </c>
      <c r="G178" s="2" t="s">
        <v>17</v>
      </c>
      <c r="H178" s="2" t="s">
        <v>24</v>
      </c>
      <c r="I178" s="21">
        <v>1</v>
      </c>
      <c r="J178" s="1">
        <v>5650</v>
      </c>
      <c r="K178" s="3">
        <v>42914</v>
      </c>
      <c r="L178" s="4"/>
      <c r="M178" s="2" t="s">
        <v>314</v>
      </c>
      <c r="N178" s="2" t="s">
        <v>315</v>
      </c>
      <c r="O178" s="2" t="s">
        <v>316</v>
      </c>
      <c r="P178" s="4">
        <v>18000</v>
      </c>
      <c r="Q178" s="4">
        <v>0</v>
      </c>
      <c r="R178" s="4">
        <v>0</v>
      </c>
      <c r="S178"/>
    </row>
    <row r="179" spans="2:19" x14ac:dyDescent="0.25">
      <c r="B179">
        <v>1</v>
      </c>
      <c r="C179" s="2" t="s">
        <v>22</v>
      </c>
      <c r="D179" s="2" t="s">
        <v>475</v>
      </c>
      <c r="E179" s="2" t="s">
        <v>476</v>
      </c>
      <c r="F179" s="2" t="s">
        <v>313</v>
      </c>
      <c r="G179" s="2" t="s">
        <v>17</v>
      </c>
      <c r="H179" s="2" t="s">
        <v>24</v>
      </c>
      <c r="I179" s="21">
        <v>1</v>
      </c>
      <c r="J179" s="1">
        <v>5654</v>
      </c>
      <c r="K179" s="3">
        <v>42914</v>
      </c>
      <c r="L179" s="4"/>
      <c r="M179" s="2" t="s">
        <v>314</v>
      </c>
      <c r="N179" s="2" t="s">
        <v>315</v>
      </c>
      <c r="O179" s="2" t="s">
        <v>316</v>
      </c>
      <c r="P179" s="4">
        <v>18000</v>
      </c>
      <c r="Q179" s="4">
        <v>0</v>
      </c>
      <c r="R179" s="4">
        <v>0</v>
      </c>
      <c r="S179"/>
    </row>
    <row r="180" spans="2:19" x14ac:dyDescent="0.25">
      <c r="B180">
        <v>1</v>
      </c>
      <c r="C180" s="2" t="s">
        <v>22</v>
      </c>
      <c r="D180" s="2" t="s">
        <v>477</v>
      </c>
      <c r="E180" s="2" t="s">
        <v>478</v>
      </c>
      <c r="F180" s="2" t="s">
        <v>313</v>
      </c>
      <c r="G180" s="2" t="s">
        <v>17</v>
      </c>
      <c r="H180" s="2" t="s">
        <v>24</v>
      </c>
      <c r="I180" s="21">
        <v>1</v>
      </c>
      <c r="J180" s="1">
        <v>5720</v>
      </c>
      <c r="K180" s="3">
        <v>42914</v>
      </c>
      <c r="L180" s="4"/>
      <c r="M180" s="2" t="s">
        <v>314</v>
      </c>
      <c r="N180" s="2" t="s">
        <v>315</v>
      </c>
      <c r="O180" s="2" t="s">
        <v>316</v>
      </c>
      <c r="P180" s="4">
        <v>18000</v>
      </c>
      <c r="Q180" s="4">
        <v>0</v>
      </c>
      <c r="R180" s="4">
        <v>0</v>
      </c>
      <c r="S180"/>
    </row>
    <row r="181" spans="2:19" x14ac:dyDescent="0.25">
      <c r="B181">
        <v>1</v>
      </c>
      <c r="C181" s="2" t="s">
        <v>22</v>
      </c>
      <c r="D181" s="2" t="s">
        <v>479</v>
      </c>
      <c r="E181" s="2" t="s">
        <v>480</v>
      </c>
      <c r="F181" s="2" t="s">
        <v>313</v>
      </c>
      <c r="G181" s="2" t="s">
        <v>17</v>
      </c>
      <c r="H181" s="2" t="s">
        <v>24</v>
      </c>
      <c r="I181" s="21">
        <v>1</v>
      </c>
      <c r="J181" s="1">
        <v>5672</v>
      </c>
      <c r="K181" s="3">
        <v>42914</v>
      </c>
      <c r="L181" s="4"/>
      <c r="M181" s="2" t="s">
        <v>314</v>
      </c>
      <c r="N181" s="2" t="s">
        <v>315</v>
      </c>
      <c r="O181" s="2" t="s">
        <v>316</v>
      </c>
      <c r="P181" s="4">
        <v>18000</v>
      </c>
      <c r="Q181" s="4">
        <v>0</v>
      </c>
      <c r="R181" s="4">
        <v>0</v>
      </c>
      <c r="S181"/>
    </row>
    <row r="182" spans="2:19" x14ac:dyDescent="0.25">
      <c r="B182">
        <v>1</v>
      </c>
      <c r="C182" s="2" t="s">
        <v>22</v>
      </c>
      <c r="D182" s="2" t="s">
        <v>481</v>
      </c>
      <c r="E182" s="2" t="s">
        <v>482</v>
      </c>
      <c r="F182" s="2" t="s">
        <v>313</v>
      </c>
      <c r="G182" s="2" t="s">
        <v>17</v>
      </c>
      <c r="H182" s="2" t="s">
        <v>24</v>
      </c>
      <c r="I182" s="21">
        <v>1</v>
      </c>
      <c r="J182" s="1">
        <v>6297</v>
      </c>
      <c r="K182" s="3">
        <v>42914</v>
      </c>
      <c r="L182" s="4"/>
      <c r="M182" s="2" t="s">
        <v>314</v>
      </c>
      <c r="N182" s="2" t="s">
        <v>315</v>
      </c>
      <c r="O182" s="2" t="s">
        <v>316</v>
      </c>
      <c r="P182" s="4">
        <v>19000</v>
      </c>
      <c r="Q182" s="4">
        <v>0</v>
      </c>
      <c r="R182" s="4">
        <v>0</v>
      </c>
      <c r="S182"/>
    </row>
    <row r="183" spans="2:19" x14ac:dyDescent="0.25">
      <c r="B183">
        <v>1</v>
      </c>
      <c r="C183" s="2" t="s">
        <v>22</v>
      </c>
      <c r="D183" s="2" t="s">
        <v>483</v>
      </c>
      <c r="E183" s="2" t="s">
        <v>484</v>
      </c>
      <c r="F183" s="2" t="s">
        <v>313</v>
      </c>
      <c r="G183" s="2" t="s">
        <v>17</v>
      </c>
      <c r="H183" s="2" t="s">
        <v>24</v>
      </c>
      <c r="I183" s="21">
        <v>1</v>
      </c>
      <c r="J183" s="1">
        <v>12723</v>
      </c>
      <c r="K183" s="3">
        <v>42914</v>
      </c>
      <c r="L183" s="4"/>
      <c r="M183" s="2" t="s">
        <v>314</v>
      </c>
      <c r="N183" s="2" t="s">
        <v>315</v>
      </c>
      <c r="O183" s="2" t="s">
        <v>316</v>
      </c>
      <c r="P183" s="4">
        <v>27000</v>
      </c>
      <c r="Q183" s="4">
        <v>0</v>
      </c>
      <c r="R183" s="4">
        <v>0</v>
      </c>
      <c r="S183"/>
    </row>
    <row r="184" spans="2:19" x14ac:dyDescent="0.25">
      <c r="B184">
        <v>1</v>
      </c>
      <c r="C184" s="2" t="s">
        <v>22</v>
      </c>
      <c r="D184" s="2" t="s">
        <v>485</v>
      </c>
      <c r="E184" s="2" t="s">
        <v>486</v>
      </c>
      <c r="F184" s="2" t="s">
        <v>313</v>
      </c>
      <c r="G184" s="2" t="s">
        <v>17</v>
      </c>
      <c r="H184" s="2" t="s">
        <v>24</v>
      </c>
      <c r="I184" s="21">
        <v>1</v>
      </c>
      <c r="J184" s="1">
        <v>6462</v>
      </c>
      <c r="K184" s="3">
        <v>42914</v>
      </c>
      <c r="L184" s="4"/>
      <c r="M184" s="2" t="s">
        <v>314</v>
      </c>
      <c r="N184" s="2" t="s">
        <v>315</v>
      </c>
      <c r="O184" s="2" t="s">
        <v>316</v>
      </c>
      <c r="P184" s="4">
        <v>19000</v>
      </c>
      <c r="Q184" s="4">
        <v>0</v>
      </c>
      <c r="R184" s="4">
        <v>0</v>
      </c>
      <c r="S184"/>
    </row>
    <row r="185" spans="2:19" x14ac:dyDescent="0.25">
      <c r="B185">
        <v>1</v>
      </c>
      <c r="C185" s="2" t="s">
        <v>22</v>
      </c>
      <c r="D185" s="2" t="s">
        <v>487</v>
      </c>
      <c r="E185" s="2" t="s">
        <v>488</v>
      </c>
      <c r="F185" s="2" t="s">
        <v>313</v>
      </c>
      <c r="G185" s="2" t="s">
        <v>17</v>
      </c>
      <c r="H185" s="2" t="s">
        <v>24</v>
      </c>
      <c r="I185" s="21">
        <v>1</v>
      </c>
      <c r="J185" s="1">
        <v>5641</v>
      </c>
      <c r="K185" s="3">
        <v>42914</v>
      </c>
      <c r="L185" s="4"/>
      <c r="M185" s="2" t="s">
        <v>314</v>
      </c>
      <c r="N185" s="2" t="s">
        <v>315</v>
      </c>
      <c r="O185" s="2" t="s">
        <v>316</v>
      </c>
      <c r="P185" s="4">
        <v>18000</v>
      </c>
      <c r="Q185" s="4">
        <v>0</v>
      </c>
      <c r="R185" s="4">
        <v>0</v>
      </c>
      <c r="S185"/>
    </row>
    <row r="186" spans="2:19" x14ac:dyDescent="0.25">
      <c r="B186">
        <v>1</v>
      </c>
      <c r="C186" s="2" t="s">
        <v>22</v>
      </c>
      <c r="D186" s="2" t="s">
        <v>489</v>
      </c>
      <c r="E186" s="2" t="s">
        <v>490</v>
      </c>
      <c r="F186" s="2" t="s">
        <v>313</v>
      </c>
      <c r="G186" s="2" t="s">
        <v>17</v>
      </c>
      <c r="H186" s="2" t="s">
        <v>24</v>
      </c>
      <c r="I186" s="21">
        <v>1</v>
      </c>
      <c r="J186" s="1">
        <v>5701</v>
      </c>
      <c r="K186" s="3">
        <v>42914</v>
      </c>
      <c r="L186" s="4"/>
      <c r="M186" s="2" t="s">
        <v>314</v>
      </c>
      <c r="N186" s="2" t="s">
        <v>315</v>
      </c>
      <c r="O186" s="2" t="s">
        <v>316</v>
      </c>
      <c r="P186" s="4">
        <v>18000</v>
      </c>
      <c r="Q186" s="4">
        <v>0</v>
      </c>
      <c r="R186" s="4">
        <v>0</v>
      </c>
      <c r="S186"/>
    </row>
    <row r="187" spans="2:19" x14ac:dyDescent="0.25">
      <c r="B187">
        <v>1</v>
      </c>
      <c r="C187" s="2" t="s">
        <v>22</v>
      </c>
      <c r="D187" s="2" t="s">
        <v>491</v>
      </c>
      <c r="E187" s="2" t="s">
        <v>492</v>
      </c>
      <c r="F187" s="2" t="s">
        <v>313</v>
      </c>
      <c r="G187" s="2" t="s">
        <v>17</v>
      </c>
      <c r="H187" s="2" t="s">
        <v>24</v>
      </c>
      <c r="I187" s="21">
        <v>1</v>
      </c>
      <c r="J187" s="1">
        <v>5652</v>
      </c>
      <c r="K187" s="3">
        <v>42914</v>
      </c>
      <c r="L187" s="4"/>
      <c r="M187" s="2" t="s">
        <v>314</v>
      </c>
      <c r="N187" s="2" t="s">
        <v>315</v>
      </c>
      <c r="O187" s="2" t="s">
        <v>316</v>
      </c>
      <c r="P187" s="4">
        <v>18000</v>
      </c>
      <c r="Q187" s="4">
        <v>0</v>
      </c>
      <c r="R187" s="4">
        <v>0</v>
      </c>
      <c r="S187"/>
    </row>
    <row r="188" spans="2:19" x14ac:dyDescent="0.25">
      <c r="B188">
        <v>1</v>
      </c>
      <c r="C188" s="2" t="s">
        <v>22</v>
      </c>
      <c r="D188" s="2" t="s">
        <v>493</v>
      </c>
      <c r="E188" s="2" t="s">
        <v>494</v>
      </c>
      <c r="F188" s="2" t="s">
        <v>313</v>
      </c>
      <c r="G188" s="2" t="s">
        <v>17</v>
      </c>
      <c r="H188" s="2" t="s">
        <v>24</v>
      </c>
      <c r="I188" s="21">
        <v>1</v>
      </c>
      <c r="J188" s="1">
        <v>5713</v>
      </c>
      <c r="K188" s="3">
        <v>42914</v>
      </c>
      <c r="L188" s="4"/>
      <c r="M188" s="2" t="s">
        <v>314</v>
      </c>
      <c r="N188" s="2" t="s">
        <v>315</v>
      </c>
      <c r="O188" s="2" t="s">
        <v>316</v>
      </c>
      <c r="P188" s="4">
        <v>18000</v>
      </c>
      <c r="Q188" s="4">
        <v>0</v>
      </c>
      <c r="R188" s="4">
        <v>0</v>
      </c>
      <c r="S188"/>
    </row>
    <row r="189" spans="2:19" x14ac:dyDescent="0.25">
      <c r="B189">
        <v>1</v>
      </c>
      <c r="C189" s="2" t="s">
        <v>22</v>
      </c>
      <c r="D189" s="2" t="s">
        <v>495</v>
      </c>
      <c r="E189" s="2" t="s">
        <v>496</v>
      </c>
      <c r="F189" s="2" t="s">
        <v>313</v>
      </c>
      <c r="G189" s="2" t="s">
        <v>17</v>
      </c>
      <c r="H189" s="2" t="s">
        <v>24</v>
      </c>
      <c r="I189" s="21">
        <v>1</v>
      </c>
      <c r="J189" s="1">
        <v>5670</v>
      </c>
      <c r="K189" s="3">
        <v>42914</v>
      </c>
      <c r="L189" s="4"/>
      <c r="M189" s="2" t="s">
        <v>314</v>
      </c>
      <c r="N189" s="2" t="s">
        <v>315</v>
      </c>
      <c r="O189" s="2" t="s">
        <v>316</v>
      </c>
      <c r="P189" s="4">
        <v>18000</v>
      </c>
      <c r="Q189" s="4">
        <v>0</v>
      </c>
      <c r="R189" s="4">
        <v>0</v>
      </c>
      <c r="S189"/>
    </row>
    <row r="190" spans="2:19" x14ac:dyDescent="0.25">
      <c r="B190">
        <v>1</v>
      </c>
      <c r="C190" s="2" t="s">
        <v>22</v>
      </c>
      <c r="D190" s="2" t="s">
        <v>497</v>
      </c>
      <c r="E190" s="2" t="s">
        <v>498</v>
      </c>
      <c r="F190" s="2" t="s">
        <v>313</v>
      </c>
      <c r="G190" s="2" t="s">
        <v>17</v>
      </c>
      <c r="H190" s="2" t="s">
        <v>24</v>
      </c>
      <c r="I190" s="21">
        <v>1</v>
      </c>
      <c r="J190" s="1">
        <v>5681</v>
      </c>
      <c r="K190" s="3">
        <v>42914</v>
      </c>
      <c r="L190" s="4"/>
      <c r="M190" s="2" t="s">
        <v>314</v>
      </c>
      <c r="N190" s="2" t="s">
        <v>315</v>
      </c>
      <c r="O190" s="2" t="s">
        <v>316</v>
      </c>
      <c r="P190" s="4">
        <v>18000</v>
      </c>
      <c r="Q190" s="4">
        <v>0</v>
      </c>
      <c r="R190" s="4">
        <v>0</v>
      </c>
      <c r="S190"/>
    </row>
    <row r="191" spans="2:19" x14ac:dyDescent="0.25">
      <c r="B191">
        <v>1</v>
      </c>
      <c r="C191" s="2" t="s">
        <v>22</v>
      </c>
      <c r="D191" s="2" t="s">
        <v>499</v>
      </c>
      <c r="E191" s="2" t="s">
        <v>500</v>
      </c>
      <c r="F191" s="2" t="s">
        <v>313</v>
      </c>
      <c r="G191" s="2" t="s">
        <v>17</v>
      </c>
      <c r="H191" s="2" t="s">
        <v>24</v>
      </c>
      <c r="I191" s="21">
        <v>1</v>
      </c>
      <c r="J191" s="1">
        <v>5711</v>
      </c>
      <c r="K191" s="3">
        <v>42914</v>
      </c>
      <c r="L191" s="4"/>
      <c r="M191" s="2" t="s">
        <v>314</v>
      </c>
      <c r="N191" s="2" t="s">
        <v>315</v>
      </c>
      <c r="O191" s="2" t="s">
        <v>316</v>
      </c>
      <c r="P191" s="4">
        <v>18000</v>
      </c>
      <c r="Q191" s="4">
        <v>0</v>
      </c>
      <c r="R191" s="4">
        <v>0</v>
      </c>
      <c r="S191"/>
    </row>
    <row r="192" spans="2:19" x14ac:dyDescent="0.25">
      <c r="B192">
        <v>1</v>
      </c>
      <c r="C192" s="2" t="s">
        <v>22</v>
      </c>
      <c r="D192" s="2" t="s">
        <v>501</v>
      </c>
      <c r="E192" s="2" t="s">
        <v>502</v>
      </c>
      <c r="F192" s="2" t="s">
        <v>313</v>
      </c>
      <c r="G192" s="2" t="s">
        <v>17</v>
      </c>
      <c r="H192" s="2" t="s">
        <v>24</v>
      </c>
      <c r="I192" s="21">
        <v>1</v>
      </c>
      <c r="J192" s="1">
        <v>6504</v>
      </c>
      <c r="K192" s="3">
        <v>42914</v>
      </c>
      <c r="L192" s="4"/>
      <c r="M192" s="2" t="s">
        <v>314</v>
      </c>
      <c r="N192" s="2" t="s">
        <v>315</v>
      </c>
      <c r="O192" s="2" t="s">
        <v>316</v>
      </c>
      <c r="P192" s="4">
        <v>19000</v>
      </c>
      <c r="Q192" s="4">
        <v>0</v>
      </c>
      <c r="R192" s="4">
        <v>0</v>
      </c>
      <c r="S192"/>
    </row>
    <row r="193" spans="2:19" x14ac:dyDescent="0.25">
      <c r="B193">
        <v>1</v>
      </c>
      <c r="C193" s="2" t="s">
        <v>22</v>
      </c>
      <c r="D193" s="2" t="s">
        <v>503</v>
      </c>
      <c r="E193" s="2" t="s">
        <v>504</v>
      </c>
      <c r="F193" s="2" t="s">
        <v>313</v>
      </c>
      <c r="G193" s="2" t="s">
        <v>17</v>
      </c>
      <c r="H193" s="2" t="s">
        <v>24</v>
      </c>
      <c r="I193" s="21">
        <v>1</v>
      </c>
      <c r="J193" s="1">
        <v>5696</v>
      </c>
      <c r="K193" s="3">
        <v>42914</v>
      </c>
      <c r="L193" s="4"/>
      <c r="M193" s="2" t="s">
        <v>314</v>
      </c>
      <c r="N193" s="2" t="s">
        <v>315</v>
      </c>
      <c r="O193" s="2" t="s">
        <v>316</v>
      </c>
      <c r="P193" s="4">
        <v>18000</v>
      </c>
      <c r="Q193" s="4">
        <v>0</v>
      </c>
      <c r="R193" s="4">
        <v>0</v>
      </c>
      <c r="S193"/>
    </row>
    <row r="194" spans="2:19" x14ac:dyDescent="0.25">
      <c r="B194">
        <v>1</v>
      </c>
      <c r="C194" s="2" t="s">
        <v>22</v>
      </c>
      <c r="D194" s="2" t="s">
        <v>505</v>
      </c>
      <c r="E194" s="2" t="s">
        <v>506</v>
      </c>
      <c r="F194" s="2" t="s">
        <v>313</v>
      </c>
      <c r="G194" s="2" t="s">
        <v>17</v>
      </c>
      <c r="H194" s="2" t="s">
        <v>24</v>
      </c>
      <c r="I194" s="21">
        <v>1</v>
      </c>
      <c r="J194" s="1">
        <v>6777</v>
      </c>
      <c r="K194" s="3">
        <v>42914</v>
      </c>
      <c r="L194" s="4"/>
      <c r="M194" s="2" t="s">
        <v>314</v>
      </c>
      <c r="N194" s="2" t="s">
        <v>315</v>
      </c>
      <c r="O194" s="2" t="s">
        <v>316</v>
      </c>
      <c r="P194" s="4">
        <v>19000</v>
      </c>
      <c r="Q194" s="4">
        <v>0</v>
      </c>
      <c r="R194" s="4">
        <v>0</v>
      </c>
      <c r="S194"/>
    </row>
    <row r="195" spans="2:19" x14ac:dyDescent="0.25">
      <c r="B195">
        <v>1</v>
      </c>
      <c r="C195" s="2" t="s">
        <v>22</v>
      </c>
      <c r="D195" s="2" t="s">
        <v>507</v>
      </c>
      <c r="E195" s="2" t="s">
        <v>508</v>
      </c>
      <c r="F195" s="2" t="s">
        <v>313</v>
      </c>
      <c r="G195" s="2" t="s">
        <v>17</v>
      </c>
      <c r="H195" s="2" t="s">
        <v>24</v>
      </c>
      <c r="I195" s="21">
        <v>1</v>
      </c>
      <c r="J195" s="1">
        <v>6421</v>
      </c>
      <c r="K195" s="3">
        <v>42914</v>
      </c>
      <c r="L195" s="4"/>
      <c r="M195" s="2" t="s">
        <v>314</v>
      </c>
      <c r="N195" s="2" t="s">
        <v>315</v>
      </c>
      <c r="O195" s="2" t="s">
        <v>316</v>
      </c>
      <c r="P195" s="4">
        <v>19000</v>
      </c>
      <c r="Q195" s="4">
        <v>0</v>
      </c>
      <c r="R195" s="4">
        <v>0</v>
      </c>
      <c r="S195"/>
    </row>
    <row r="196" spans="2:19" x14ac:dyDescent="0.25">
      <c r="B196">
        <v>1</v>
      </c>
      <c r="C196" s="2" t="s">
        <v>22</v>
      </c>
      <c r="D196" s="2" t="s">
        <v>509</v>
      </c>
      <c r="E196" s="2" t="s">
        <v>510</v>
      </c>
      <c r="F196" s="2" t="s">
        <v>313</v>
      </c>
      <c r="G196" s="2" t="s">
        <v>17</v>
      </c>
      <c r="H196" s="2" t="s">
        <v>24</v>
      </c>
      <c r="I196" s="21">
        <v>1</v>
      </c>
      <c r="J196" s="1">
        <v>5368</v>
      </c>
      <c r="K196" s="3">
        <v>42914</v>
      </c>
      <c r="L196" s="4"/>
      <c r="M196" s="2" t="s">
        <v>314</v>
      </c>
      <c r="N196" s="2" t="s">
        <v>315</v>
      </c>
      <c r="O196" s="2" t="s">
        <v>316</v>
      </c>
      <c r="P196" s="4">
        <v>17000</v>
      </c>
      <c r="Q196" s="4">
        <v>0</v>
      </c>
      <c r="R196" s="4">
        <v>0</v>
      </c>
      <c r="S196"/>
    </row>
    <row r="197" spans="2:19" x14ac:dyDescent="0.25">
      <c r="B197">
        <v>1</v>
      </c>
      <c r="C197" s="2" t="s">
        <v>22</v>
      </c>
      <c r="D197" s="2" t="s">
        <v>511</v>
      </c>
      <c r="E197" s="2" t="s">
        <v>512</v>
      </c>
      <c r="F197" s="2" t="s">
        <v>313</v>
      </c>
      <c r="G197" s="2" t="s">
        <v>17</v>
      </c>
      <c r="H197" s="2" t="s">
        <v>24</v>
      </c>
      <c r="I197" s="21">
        <v>1</v>
      </c>
      <c r="J197" s="1">
        <v>5276</v>
      </c>
      <c r="K197" s="3">
        <v>42914</v>
      </c>
      <c r="L197" s="4"/>
      <c r="M197" s="2" t="s">
        <v>314</v>
      </c>
      <c r="N197" s="2" t="s">
        <v>315</v>
      </c>
      <c r="O197" s="2" t="s">
        <v>316</v>
      </c>
      <c r="P197" s="4">
        <v>17000</v>
      </c>
      <c r="Q197" s="4">
        <v>0</v>
      </c>
      <c r="R197" s="4">
        <v>0</v>
      </c>
      <c r="S197"/>
    </row>
    <row r="198" spans="2:19" x14ac:dyDescent="0.25">
      <c r="B198">
        <v>1</v>
      </c>
      <c r="C198" s="2" t="s">
        <v>22</v>
      </c>
      <c r="D198" s="2" t="s">
        <v>513</v>
      </c>
      <c r="E198" s="2" t="s">
        <v>514</v>
      </c>
      <c r="F198" s="2" t="s">
        <v>313</v>
      </c>
      <c r="G198" s="2" t="s">
        <v>17</v>
      </c>
      <c r="H198" s="2" t="s">
        <v>24</v>
      </c>
      <c r="I198" s="21">
        <v>1</v>
      </c>
      <c r="J198" s="1">
        <v>5391</v>
      </c>
      <c r="K198" s="3">
        <v>42914</v>
      </c>
      <c r="L198" s="4"/>
      <c r="M198" s="2" t="s">
        <v>314</v>
      </c>
      <c r="N198" s="2" t="s">
        <v>315</v>
      </c>
      <c r="O198" s="2" t="s">
        <v>316</v>
      </c>
      <c r="P198" s="4">
        <v>17000</v>
      </c>
      <c r="Q198" s="4">
        <v>0</v>
      </c>
      <c r="R198" s="4">
        <v>0</v>
      </c>
      <c r="S198"/>
    </row>
    <row r="199" spans="2:19" x14ac:dyDescent="0.25">
      <c r="B199">
        <v>1</v>
      </c>
      <c r="C199" s="2" t="s">
        <v>22</v>
      </c>
      <c r="D199" s="2" t="s">
        <v>515</v>
      </c>
      <c r="E199" s="2" t="s">
        <v>516</v>
      </c>
      <c r="F199" s="2" t="s">
        <v>313</v>
      </c>
      <c r="G199" s="2" t="s">
        <v>17</v>
      </c>
      <c r="H199" s="2" t="s">
        <v>24</v>
      </c>
      <c r="I199" s="21">
        <v>1</v>
      </c>
      <c r="J199" s="1">
        <v>5327</v>
      </c>
      <c r="K199" s="3">
        <v>42914</v>
      </c>
      <c r="L199" s="4"/>
      <c r="M199" s="2" t="s">
        <v>314</v>
      </c>
      <c r="N199" s="2" t="s">
        <v>315</v>
      </c>
      <c r="O199" s="2" t="s">
        <v>316</v>
      </c>
      <c r="P199" s="4">
        <v>17000</v>
      </c>
      <c r="Q199" s="4">
        <v>0</v>
      </c>
      <c r="R199" s="4">
        <v>0</v>
      </c>
      <c r="S199"/>
    </row>
    <row r="200" spans="2:19" x14ac:dyDescent="0.25">
      <c r="B200">
        <v>1</v>
      </c>
      <c r="C200" s="2" t="s">
        <v>22</v>
      </c>
      <c r="D200" s="2" t="s">
        <v>517</v>
      </c>
      <c r="E200" s="2" t="s">
        <v>518</v>
      </c>
      <c r="F200" s="2" t="s">
        <v>313</v>
      </c>
      <c r="G200" s="2" t="s">
        <v>17</v>
      </c>
      <c r="H200" s="2" t="s">
        <v>24</v>
      </c>
      <c r="I200" s="21">
        <v>1</v>
      </c>
      <c r="J200" s="1">
        <v>5446</v>
      </c>
      <c r="K200" s="3">
        <v>42914</v>
      </c>
      <c r="L200" s="4"/>
      <c r="M200" s="2" t="s">
        <v>314</v>
      </c>
      <c r="N200" s="2" t="s">
        <v>315</v>
      </c>
      <c r="O200" s="2" t="s">
        <v>316</v>
      </c>
      <c r="P200" s="4">
        <v>17000</v>
      </c>
      <c r="Q200" s="4">
        <v>0</v>
      </c>
      <c r="R200" s="4">
        <v>0</v>
      </c>
      <c r="S200"/>
    </row>
    <row r="201" spans="2:19" x14ac:dyDescent="0.25">
      <c r="B201">
        <v>1</v>
      </c>
      <c r="C201" s="2" t="s">
        <v>22</v>
      </c>
      <c r="D201" s="2" t="s">
        <v>519</v>
      </c>
      <c r="E201" s="2" t="s">
        <v>520</v>
      </c>
      <c r="F201" s="2" t="s">
        <v>313</v>
      </c>
      <c r="G201" s="2" t="s">
        <v>17</v>
      </c>
      <c r="H201" s="2" t="s">
        <v>24</v>
      </c>
      <c r="I201" s="21">
        <v>1</v>
      </c>
      <c r="J201" s="1">
        <v>5399</v>
      </c>
      <c r="K201" s="3">
        <v>42914</v>
      </c>
      <c r="L201" s="4"/>
      <c r="M201" s="2" t="s">
        <v>314</v>
      </c>
      <c r="N201" s="2" t="s">
        <v>315</v>
      </c>
      <c r="O201" s="2" t="s">
        <v>316</v>
      </c>
      <c r="P201" s="4">
        <v>17000</v>
      </c>
      <c r="Q201" s="4">
        <v>0</v>
      </c>
      <c r="R201" s="4">
        <v>0</v>
      </c>
      <c r="S201"/>
    </row>
    <row r="202" spans="2:19" x14ac:dyDescent="0.25">
      <c r="B202">
        <v>1</v>
      </c>
      <c r="C202" s="2" t="s">
        <v>22</v>
      </c>
      <c r="D202" s="2" t="s">
        <v>521</v>
      </c>
      <c r="E202" s="2" t="s">
        <v>522</v>
      </c>
      <c r="F202" s="2" t="s">
        <v>313</v>
      </c>
      <c r="G202" s="2" t="s">
        <v>17</v>
      </c>
      <c r="H202" s="2" t="s">
        <v>24</v>
      </c>
      <c r="I202" s="21">
        <v>1</v>
      </c>
      <c r="J202" s="1">
        <v>5406</v>
      </c>
      <c r="K202" s="3">
        <v>42914</v>
      </c>
      <c r="L202" s="4"/>
      <c r="M202" s="2" t="s">
        <v>314</v>
      </c>
      <c r="N202" s="2" t="s">
        <v>315</v>
      </c>
      <c r="O202" s="2" t="s">
        <v>316</v>
      </c>
      <c r="P202" s="4">
        <v>17000</v>
      </c>
      <c r="Q202" s="4">
        <v>0</v>
      </c>
      <c r="R202" s="4">
        <v>0</v>
      </c>
      <c r="S202"/>
    </row>
    <row r="203" spans="2:19" x14ac:dyDescent="0.25">
      <c r="B203">
        <v>1</v>
      </c>
      <c r="C203" s="2" t="s">
        <v>22</v>
      </c>
      <c r="D203" s="2" t="s">
        <v>523</v>
      </c>
      <c r="E203" s="2" t="s">
        <v>524</v>
      </c>
      <c r="F203" s="2" t="s">
        <v>313</v>
      </c>
      <c r="G203" s="2" t="s">
        <v>17</v>
      </c>
      <c r="H203" s="2" t="s">
        <v>24</v>
      </c>
      <c r="I203" s="21">
        <v>1</v>
      </c>
      <c r="J203" s="1">
        <v>5306</v>
      </c>
      <c r="K203" s="3">
        <v>42914</v>
      </c>
      <c r="L203" s="4"/>
      <c r="M203" s="2" t="s">
        <v>314</v>
      </c>
      <c r="N203" s="2" t="s">
        <v>315</v>
      </c>
      <c r="O203" s="2" t="s">
        <v>316</v>
      </c>
      <c r="P203" s="4">
        <v>17000</v>
      </c>
      <c r="Q203" s="4">
        <v>0</v>
      </c>
      <c r="R203" s="4">
        <v>0</v>
      </c>
      <c r="S203"/>
    </row>
    <row r="204" spans="2:19" x14ac:dyDescent="0.25">
      <c r="B204">
        <v>1</v>
      </c>
      <c r="C204" s="2" t="s">
        <v>22</v>
      </c>
      <c r="D204" s="2" t="s">
        <v>525</v>
      </c>
      <c r="E204" s="2" t="s">
        <v>526</v>
      </c>
      <c r="F204" s="2" t="s">
        <v>313</v>
      </c>
      <c r="G204" s="2" t="s">
        <v>17</v>
      </c>
      <c r="H204" s="2" t="s">
        <v>24</v>
      </c>
      <c r="I204" s="21">
        <v>1</v>
      </c>
      <c r="J204" s="1">
        <v>6568</v>
      </c>
      <c r="K204" s="3">
        <v>42914</v>
      </c>
      <c r="L204" s="4"/>
      <c r="M204" s="2" t="s">
        <v>314</v>
      </c>
      <c r="N204" s="2" t="s">
        <v>315</v>
      </c>
      <c r="O204" s="2" t="s">
        <v>316</v>
      </c>
      <c r="P204" s="4">
        <v>19000</v>
      </c>
      <c r="Q204" s="4">
        <v>0</v>
      </c>
      <c r="R204" s="4">
        <v>0</v>
      </c>
      <c r="S204"/>
    </row>
    <row r="205" spans="2:19" x14ac:dyDescent="0.25">
      <c r="B205">
        <v>1</v>
      </c>
      <c r="C205" s="2" t="s">
        <v>22</v>
      </c>
      <c r="D205" s="2" t="s">
        <v>527</v>
      </c>
      <c r="E205" s="2" t="s">
        <v>528</v>
      </c>
      <c r="F205" s="2" t="s">
        <v>313</v>
      </c>
      <c r="G205" s="2" t="s">
        <v>17</v>
      </c>
      <c r="H205" s="2" t="s">
        <v>24</v>
      </c>
      <c r="I205" s="21">
        <v>1</v>
      </c>
      <c r="J205" s="1">
        <v>6048</v>
      </c>
      <c r="K205" s="3">
        <v>42914</v>
      </c>
      <c r="L205" s="4"/>
      <c r="M205" s="2" t="s">
        <v>314</v>
      </c>
      <c r="N205" s="2" t="s">
        <v>315</v>
      </c>
      <c r="O205" s="2" t="s">
        <v>316</v>
      </c>
      <c r="P205" s="4">
        <v>18000</v>
      </c>
      <c r="Q205" s="4">
        <v>0</v>
      </c>
      <c r="R205" s="4">
        <v>0</v>
      </c>
      <c r="S205"/>
    </row>
    <row r="206" spans="2:19" x14ac:dyDescent="0.25">
      <c r="B206">
        <v>1</v>
      </c>
      <c r="C206" s="2" t="s">
        <v>22</v>
      </c>
      <c r="D206" s="2" t="s">
        <v>529</v>
      </c>
      <c r="E206" s="2" t="s">
        <v>530</v>
      </c>
      <c r="F206" s="2" t="s">
        <v>313</v>
      </c>
      <c r="G206" s="2" t="s">
        <v>17</v>
      </c>
      <c r="H206" s="2" t="s">
        <v>24</v>
      </c>
      <c r="I206" s="21">
        <v>1</v>
      </c>
      <c r="J206" s="1">
        <v>4983</v>
      </c>
      <c r="K206" s="3">
        <v>42914</v>
      </c>
      <c r="L206" s="4"/>
      <c r="M206" s="2" t="s">
        <v>314</v>
      </c>
      <c r="N206" s="2" t="s">
        <v>315</v>
      </c>
      <c r="O206" s="2" t="s">
        <v>316</v>
      </c>
      <c r="P206" s="4">
        <v>17000</v>
      </c>
      <c r="Q206" s="4">
        <v>0</v>
      </c>
      <c r="R206" s="4">
        <v>0</v>
      </c>
      <c r="S206"/>
    </row>
    <row r="207" spans="2:19" x14ac:dyDescent="0.25">
      <c r="B207">
        <v>1</v>
      </c>
      <c r="C207" s="2" t="s">
        <v>22</v>
      </c>
      <c r="D207" s="2" t="s">
        <v>531</v>
      </c>
      <c r="E207" s="2" t="s">
        <v>532</v>
      </c>
      <c r="F207" s="2" t="s">
        <v>313</v>
      </c>
      <c r="G207" s="2" t="s">
        <v>17</v>
      </c>
      <c r="H207" s="2" t="s">
        <v>24</v>
      </c>
      <c r="I207" s="21">
        <v>1</v>
      </c>
      <c r="J207" s="1">
        <v>5055</v>
      </c>
      <c r="K207" s="3">
        <v>42914</v>
      </c>
      <c r="L207" s="4"/>
      <c r="M207" s="2" t="s">
        <v>314</v>
      </c>
      <c r="N207" s="2" t="s">
        <v>315</v>
      </c>
      <c r="O207" s="2" t="s">
        <v>316</v>
      </c>
      <c r="P207" s="4">
        <v>17000</v>
      </c>
      <c r="Q207" s="4">
        <v>0</v>
      </c>
      <c r="R207" s="4">
        <v>0</v>
      </c>
      <c r="S207"/>
    </row>
    <row r="208" spans="2:19" x14ac:dyDescent="0.25">
      <c r="B208">
        <v>1</v>
      </c>
      <c r="C208" s="2" t="s">
        <v>22</v>
      </c>
      <c r="D208" s="2" t="s">
        <v>533</v>
      </c>
      <c r="E208" s="2" t="s">
        <v>534</v>
      </c>
      <c r="F208" s="2" t="s">
        <v>313</v>
      </c>
      <c r="G208" s="2" t="s">
        <v>17</v>
      </c>
      <c r="H208" s="2" t="s">
        <v>24</v>
      </c>
      <c r="I208" s="21">
        <v>1</v>
      </c>
      <c r="J208" s="1">
        <v>5053</v>
      </c>
      <c r="K208" s="3">
        <v>42914</v>
      </c>
      <c r="L208" s="4"/>
      <c r="M208" s="2" t="s">
        <v>314</v>
      </c>
      <c r="N208" s="2" t="s">
        <v>315</v>
      </c>
      <c r="O208" s="2" t="s">
        <v>316</v>
      </c>
      <c r="P208" s="4">
        <v>17000</v>
      </c>
      <c r="Q208" s="4">
        <v>0</v>
      </c>
      <c r="R208" s="4">
        <v>0</v>
      </c>
      <c r="S208"/>
    </row>
    <row r="209" spans="2:19" x14ac:dyDescent="0.25">
      <c r="B209">
        <v>1</v>
      </c>
      <c r="C209" s="2" t="s">
        <v>22</v>
      </c>
      <c r="D209" s="2" t="s">
        <v>535</v>
      </c>
      <c r="E209" s="2" t="s">
        <v>536</v>
      </c>
      <c r="F209" s="2" t="s">
        <v>313</v>
      </c>
      <c r="G209" s="2" t="s">
        <v>17</v>
      </c>
      <c r="H209" s="2" t="s">
        <v>24</v>
      </c>
      <c r="I209" s="21">
        <v>1</v>
      </c>
      <c r="J209" s="1">
        <v>5090</v>
      </c>
      <c r="K209" s="3">
        <v>42914</v>
      </c>
      <c r="L209" s="4"/>
      <c r="M209" s="2" t="s">
        <v>314</v>
      </c>
      <c r="N209" s="2" t="s">
        <v>315</v>
      </c>
      <c r="O209" s="2" t="s">
        <v>316</v>
      </c>
      <c r="P209" s="4">
        <v>17000</v>
      </c>
      <c r="Q209" s="4">
        <v>0</v>
      </c>
      <c r="R209" s="4">
        <v>0</v>
      </c>
      <c r="S209"/>
    </row>
    <row r="210" spans="2:19" x14ac:dyDescent="0.25">
      <c r="B210">
        <v>1</v>
      </c>
      <c r="C210" s="2" t="s">
        <v>22</v>
      </c>
      <c r="D210" s="2" t="s">
        <v>537</v>
      </c>
      <c r="E210" s="2" t="s">
        <v>538</v>
      </c>
      <c r="F210" s="2" t="s">
        <v>313</v>
      </c>
      <c r="G210" s="2" t="s">
        <v>17</v>
      </c>
      <c r="H210" s="2" t="s">
        <v>24</v>
      </c>
      <c r="I210" s="21">
        <v>1</v>
      </c>
      <c r="J210" s="1">
        <v>5000</v>
      </c>
      <c r="K210" s="3">
        <v>42914</v>
      </c>
      <c r="L210" s="4"/>
      <c r="M210" s="2" t="s">
        <v>314</v>
      </c>
      <c r="N210" s="2" t="s">
        <v>315</v>
      </c>
      <c r="O210" s="2" t="s">
        <v>316</v>
      </c>
      <c r="P210" s="4">
        <v>17000</v>
      </c>
      <c r="Q210" s="4">
        <v>0</v>
      </c>
      <c r="R210" s="4">
        <v>0</v>
      </c>
      <c r="S210"/>
    </row>
    <row r="211" spans="2:19" x14ac:dyDescent="0.25">
      <c r="B211">
        <v>1</v>
      </c>
      <c r="C211" s="2" t="s">
        <v>22</v>
      </c>
      <c r="D211" s="2" t="s">
        <v>539</v>
      </c>
      <c r="E211" s="2" t="s">
        <v>540</v>
      </c>
      <c r="F211" s="2" t="s">
        <v>313</v>
      </c>
      <c r="G211" s="2" t="s">
        <v>17</v>
      </c>
      <c r="H211" s="2" t="s">
        <v>24</v>
      </c>
      <c r="I211" s="21">
        <v>1</v>
      </c>
      <c r="J211" s="1">
        <v>5072</v>
      </c>
      <c r="K211" s="3">
        <v>42914</v>
      </c>
      <c r="L211" s="4"/>
      <c r="M211" s="2" t="s">
        <v>314</v>
      </c>
      <c r="N211" s="2" t="s">
        <v>315</v>
      </c>
      <c r="O211" s="2" t="s">
        <v>316</v>
      </c>
      <c r="P211" s="4">
        <v>17000</v>
      </c>
      <c r="Q211" s="4">
        <v>0</v>
      </c>
      <c r="R211" s="4">
        <v>0</v>
      </c>
      <c r="S211"/>
    </row>
    <row r="212" spans="2:19" x14ac:dyDescent="0.25">
      <c r="B212">
        <v>1</v>
      </c>
      <c r="C212" s="2" t="s">
        <v>22</v>
      </c>
      <c r="D212" s="2" t="s">
        <v>541</v>
      </c>
      <c r="E212" s="2" t="s">
        <v>542</v>
      </c>
      <c r="F212" s="2" t="s">
        <v>313</v>
      </c>
      <c r="G212" s="2" t="s">
        <v>17</v>
      </c>
      <c r="H212" s="2" t="s">
        <v>24</v>
      </c>
      <c r="I212" s="21">
        <v>1</v>
      </c>
      <c r="J212" s="1">
        <v>4981</v>
      </c>
      <c r="K212" s="3">
        <v>42914</v>
      </c>
      <c r="L212" s="4"/>
      <c r="M212" s="2" t="s">
        <v>314</v>
      </c>
      <c r="N212" s="2" t="s">
        <v>315</v>
      </c>
      <c r="O212" s="2" t="s">
        <v>316</v>
      </c>
      <c r="P212" s="4">
        <v>17000</v>
      </c>
      <c r="Q212" s="4">
        <v>0</v>
      </c>
      <c r="R212" s="4">
        <v>0</v>
      </c>
      <c r="S212"/>
    </row>
    <row r="213" spans="2:19" x14ac:dyDescent="0.25">
      <c r="B213">
        <v>1</v>
      </c>
      <c r="C213" s="2" t="s">
        <v>22</v>
      </c>
      <c r="D213" s="2" t="s">
        <v>543</v>
      </c>
      <c r="E213" s="2" t="s">
        <v>544</v>
      </c>
      <c r="F213" s="2" t="s">
        <v>313</v>
      </c>
      <c r="G213" s="2" t="s">
        <v>17</v>
      </c>
      <c r="H213" s="2" t="s">
        <v>24</v>
      </c>
      <c r="I213" s="21">
        <v>1</v>
      </c>
      <c r="J213" s="1">
        <v>5052</v>
      </c>
      <c r="K213" s="3">
        <v>42914</v>
      </c>
      <c r="L213" s="4"/>
      <c r="M213" s="2" t="s">
        <v>314</v>
      </c>
      <c r="N213" s="2" t="s">
        <v>315</v>
      </c>
      <c r="O213" s="2" t="s">
        <v>316</v>
      </c>
      <c r="P213" s="4">
        <v>17000</v>
      </c>
      <c r="Q213" s="4">
        <v>0</v>
      </c>
      <c r="R213" s="4">
        <v>0</v>
      </c>
      <c r="S213"/>
    </row>
    <row r="214" spans="2:19" x14ac:dyDescent="0.25">
      <c r="B214">
        <v>1</v>
      </c>
      <c r="C214" s="2" t="s">
        <v>22</v>
      </c>
      <c r="D214" s="2" t="s">
        <v>545</v>
      </c>
      <c r="E214" s="2" t="s">
        <v>546</v>
      </c>
      <c r="F214" s="2" t="s">
        <v>313</v>
      </c>
      <c r="G214" s="2" t="s">
        <v>17</v>
      </c>
      <c r="H214" s="2" t="s">
        <v>24</v>
      </c>
      <c r="I214" s="21">
        <v>1</v>
      </c>
      <c r="J214" s="1">
        <v>6044</v>
      </c>
      <c r="K214" s="3">
        <v>42914</v>
      </c>
      <c r="L214" s="4"/>
      <c r="M214" s="2" t="s">
        <v>314</v>
      </c>
      <c r="N214" s="2" t="s">
        <v>315</v>
      </c>
      <c r="O214" s="2" t="s">
        <v>316</v>
      </c>
      <c r="P214" s="4">
        <v>18000</v>
      </c>
      <c r="Q214" s="4">
        <v>0</v>
      </c>
      <c r="R214" s="4">
        <v>0</v>
      </c>
      <c r="S214"/>
    </row>
    <row r="215" spans="2:19" x14ac:dyDescent="0.25">
      <c r="B215">
        <v>1</v>
      </c>
      <c r="C215" s="2" t="s">
        <v>22</v>
      </c>
      <c r="D215" s="2" t="s">
        <v>547</v>
      </c>
      <c r="E215" s="2" t="s">
        <v>548</v>
      </c>
      <c r="F215" s="2" t="s">
        <v>313</v>
      </c>
      <c r="G215" s="2" t="s">
        <v>17</v>
      </c>
      <c r="H215" s="2" t="s">
        <v>24</v>
      </c>
      <c r="I215" s="21">
        <v>1</v>
      </c>
      <c r="J215" s="1">
        <v>9058</v>
      </c>
      <c r="K215" s="3">
        <v>42914</v>
      </c>
      <c r="L215" s="4"/>
      <c r="M215" s="2" t="s">
        <v>314</v>
      </c>
      <c r="N215" s="2" t="s">
        <v>315</v>
      </c>
      <c r="O215" s="2" t="s">
        <v>316</v>
      </c>
      <c r="P215" s="4">
        <v>22000</v>
      </c>
      <c r="Q215" s="4">
        <v>0</v>
      </c>
      <c r="R215" s="4">
        <v>0</v>
      </c>
      <c r="S215"/>
    </row>
    <row r="216" spans="2:19" x14ac:dyDescent="0.25">
      <c r="B216">
        <v>1</v>
      </c>
      <c r="C216" s="2" t="s">
        <v>22</v>
      </c>
      <c r="D216" s="2" t="s">
        <v>549</v>
      </c>
      <c r="E216" s="2" t="s">
        <v>550</v>
      </c>
      <c r="F216" s="2" t="s">
        <v>313</v>
      </c>
      <c r="G216" s="2" t="s">
        <v>17</v>
      </c>
      <c r="H216" s="2" t="s">
        <v>24</v>
      </c>
      <c r="I216" s="21">
        <v>1</v>
      </c>
      <c r="J216" s="1">
        <v>7410</v>
      </c>
      <c r="K216" s="3">
        <v>42914</v>
      </c>
      <c r="L216" s="4"/>
      <c r="M216" s="2" t="s">
        <v>314</v>
      </c>
      <c r="N216" s="2" t="s">
        <v>315</v>
      </c>
      <c r="O216" s="2" t="s">
        <v>316</v>
      </c>
      <c r="P216" s="4">
        <v>20000</v>
      </c>
      <c r="Q216" s="4">
        <v>0</v>
      </c>
      <c r="R216" s="4">
        <v>0</v>
      </c>
      <c r="S216"/>
    </row>
    <row r="217" spans="2:19" x14ac:dyDescent="0.25">
      <c r="B217">
        <v>1</v>
      </c>
      <c r="C217" s="2" t="s">
        <v>22</v>
      </c>
      <c r="D217" s="2" t="s">
        <v>551</v>
      </c>
      <c r="E217" s="2" t="s">
        <v>552</v>
      </c>
      <c r="F217" s="2" t="s">
        <v>313</v>
      </c>
      <c r="G217" s="2" t="s">
        <v>17</v>
      </c>
      <c r="H217" s="2" t="s">
        <v>24</v>
      </c>
      <c r="I217" s="21">
        <v>1</v>
      </c>
      <c r="J217" s="1">
        <v>11608</v>
      </c>
      <c r="K217" s="3">
        <v>42914</v>
      </c>
      <c r="L217" s="4"/>
      <c r="M217" s="2" t="s">
        <v>314</v>
      </c>
      <c r="N217" s="2" t="s">
        <v>315</v>
      </c>
      <c r="O217" s="2" t="s">
        <v>316</v>
      </c>
      <c r="P217" s="4">
        <v>26000</v>
      </c>
      <c r="Q217" s="4">
        <v>0</v>
      </c>
      <c r="R217" s="4">
        <v>0</v>
      </c>
      <c r="S217"/>
    </row>
    <row r="218" spans="2:19" x14ac:dyDescent="0.25">
      <c r="B218">
        <v>1</v>
      </c>
      <c r="C218" s="2" t="s">
        <v>22</v>
      </c>
      <c r="D218" s="2" t="s">
        <v>553</v>
      </c>
      <c r="E218" s="2" t="s">
        <v>554</v>
      </c>
      <c r="F218" s="2" t="s">
        <v>313</v>
      </c>
      <c r="G218" s="2" t="s">
        <v>17</v>
      </c>
      <c r="H218" s="2" t="s">
        <v>24</v>
      </c>
      <c r="I218" s="21">
        <v>1</v>
      </c>
      <c r="J218" s="1">
        <v>9578</v>
      </c>
      <c r="K218" s="3">
        <v>42914</v>
      </c>
      <c r="L218" s="4"/>
      <c r="M218" s="2" t="s">
        <v>314</v>
      </c>
      <c r="N218" s="2" t="s">
        <v>315</v>
      </c>
      <c r="O218" s="2" t="s">
        <v>316</v>
      </c>
      <c r="P218" s="4">
        <v>23000</v>
      </c>
      <c r="Q218" s="4">
        <v>0</v>
      </c>
      <c r="R218" s="4">
        <v>0</v>
      </c>
      <c r="S218"/>
    </row>
    <row r="219" spans="2:19" x14ac:dyDescent="0.25">
      <c r="B219">
        <v>1</v>
      </c>
      <c r="C219" s="2" t="s">
        <v>22</v>
      </c>
      <c r="D219" s="2" t="s">
        <v>555</v>
      </c>
      <c r="E219" s="2" t="s">
        <v>556</v>
      </c>
      <c r="F219" s="2" t="s">
        <v>313</v>
      </c>
      <c r="G219" s="2" t="s">
        <v>17</v>
      </c>
      <c r="H219" s="2" t="s">
        <v>24</v>
      </c>
      <c r="I219" s="21">
        <v>1</v>
      </c>
      <c r="J219" s="1">
        <v>8828</v>
      </c>
      <c r="K219" s="3">
        <v>42914</v>
      </c>
      <c r="L219" s="4"/>
      <c r="M219" s="2" t="s">
        <v>314</v>
      </c>
      <c r="N219" s="2" t="s">
        <v>315</v>
      </c>
      <c r="O219" s="2" t="s">
        <v>316</v>
      </c>
      <c r="P219" s="4">
        <v>22000</v>
      </c>
      <c r="Q219" s="4">
        <v>0</v>
      </c>
      <c r="R219" s="4">
        <v>0</v>
      </c>
      <c r="S219"/>
    </row>
    <row r="220" spans="2:19" x14ac:dyDescent="0.25">
      <c r="B220">
        <v>1</v>
      </c>
      <c r="C220" s="2" t="s">
        <v>22</v>
      </c>
      <c r="D220" s="2" t="s">
        <v>557</v>
      </c>
      <c r="E220" s="2" t="s">
        <v>558</v>
      </c>
      <c r="F220" s="2" t="s">
        <v>313</v>
      </c>
      <c r="G220" s="2" t="s">
        <v>17</v>
      </c>
      <c r="H220" s="2" t="s">
        <v>24</v>
      </c>
      <c r="I220" s="21">
        <v>1</v>
      </c>
      <c r="J220" s="1">
        <v>7967</v>
      </c>
      <c r="K220" s="3">
        <v>42914</v>
      </c>
      <c r="L220" s="4"/>
      <c r="M220" s="2" t="s">
        <v>314</v>
      </c>
      <c r="N220" s="2" t="s">
        <v>315</v>
      </c>
      <c r="O220" s="2" t="s">
        <v>316</v>
      </c>
      <c r="P220" s="4">
        <v>21000</v>
      </c>
      <c r="Q220" s="4">
        <v>0</v>
      </c>
      <c r="R220" s="4">
        <v>0</v>
      </c>
      <c r="S220"/>
    </row>
    <row r="221" spans="2:19" x14ac:dyDescent="0.25">
      <c r="B221">
        <v>1</v>
      </c>
      <c r="C221" s="2" t="s">
        <v>22</v>
      </c>
      <c r="D221" s="2" t="s">
        <v>559</v>
      </c>
      <c r="E221" s="2" t="s">
        <v>560</v>
      </c>
      <c r="F221" s="2" t="s">
        <v>313</v>
      </c>
      <c r="G221" s="2" t="s">
        <v>17</v>
      </c>
      <c r="H221" s="2" t="s">
        <v>24</v>
      </c>
      <c r="I221" s="21">
        <v>1</v>
      </c>
      <c r="J221" s="1">
        <v>9269</v>
      </c>
      <c r="K221" s="3">
        <v>42914</v>
      </c>
      <c r="L221" s="4"/>
      <c r="M221" s="2" t="s">
        <v>314</v>
      </c>
      <c r="N221" s="2" t="s">
        <v>315</v>
      </c>
      <c r="O221" s="2" t="s">
        <v>29</v>
      </c>
      <c r="P221" s="4">
        <v>23000</v>
      </c>
      <c r="Q221" s="4">
        <v>0</v>
      </c>
      <c r="R221" s="4">
        <v>0</v>
      </c>
      <c r="S221"/>
    </row>
    <row r="222" spans="2:19" x14ac:dyDescent="0.25">
      <c r="B222">
        <v>1</v>
      </c>
      <c r="C222" s="2" t="s">
        <v>22</v>
      </c>
      <c r="D222" s="2" t="s">
        <v>561</v>
      </c>
      <c r="E222" s="2" t="s">
        <v>562</v>
      </c>
      <c r="F222" s="2" t="s">
        <v>313</v>
      </c>
      <c r="G222" s="2" t="s">
        <v>17</v>
      </c>
      <c r="H222" s="2" t="s">
        <v>24</v>
      </c>
      <c r="I222" s="21">
        <v>1</v>
      </c>
      <c r="J222" s="1">
        <v>8639</v>
      </c>
      <c r="K222" s="3">
        <v>42914</v>
      </c>
      <c r="L222" s="4"/>
      <c r="M222" s="2" t="s">
        <v>315</v>
      </c>
      <c r="N222" s="2" t="s">
        <v>29</v>
      </c>
      <c r="O222" s="2" t="s">
        <v>29</v>
      </c>
      <c r="P222" s="4">
        <v>22000</v>
      </c>
      <c r="Q222" s="4">
        <v>0</v>
      </c>
      <c r="R222" s="4">
        <v>0</v>
      </c>
      <c r="S222"/>
    </row>
    <row r="223" spans="2:19" x14ac:dyDescent="0.25">
      <c r="B223">
        <v>1</v>
      </c>
      <c r="C223" s="2" t="s">
        <v>22</v>
      </c>
      <c r="D223" s="2" t="s">
        <v>563</v>
      </c>
      <c r="E223" s="2" t="s">
        <v>564</v>
      </c>
      <c r="F223" s="2" t="s">
        <v>313</v>
      </c>
      <c r="G223" s="2" t="s">
        <v>17</v>
      </c>
      <c r="H223" s="2" t="s">
        <v>24</v>
      </c>
      <c r="I223" s="21">
        <v>1</v>
      </c>
      <c r="J223" s="1">
        <v>7726</v>
      </c>
      <c r="K223" s="3">
        <v>42914</v>
      </c>
      <c r="L223" s="4"/>
      <c r="M223" s="2" t="s">
        <v>314</v>
      </c>
      <c r="N223" s="2" t="s">
        <v>315</v>
      </c>
      <c r="O223" s="2" t="s">
        <v>29</v>
      </c>
      <c r="P223" s="4">
        <v>21000</v>
      </c>
      <c r="Q223" s="4">
        <v>0</v>
      </c>
      <c r="R223" s="4">
        <v>0</v>
      </c>
      <c r="S223"/>
    </row>
    <row r="224" spans="2:19" x14ac:dyDescent="0.25">
      <c r="B224">
        <v>1</v>
      </c>
      <c r="C224" s="2" t="s">
        <v>22</v>
      </c>
      <c r="D224" s="2" t="s">
        <v>565</v>
      </c>
      <c r="E224" s="2" t="s">
        <v>566</v>
      </c>
      <c r="F224" s="2" t="s">
        <v>313</v>
      </c>
      <c r="G224" s="2" t="s">
        <v>17</v>
      </c>
      <c r="H224" s="2" t="s">
        <v>24</v>
      </c>
      <c r="I224" s="21">
        <v>1</v>
      </c>
      <c r="J224" s="1">
        <v>7334</v>
      </c>
      <c r="K224" s="3">
        <v>42914</v>
      </c>
      <c r="L224" s="4"/>
      <c r="M224" s="2" t="s">
        <v>314</v>
      </c>
      <c r="N224" s="2" t="s">
        <v>315</v>
      </c>
      <c r="O224" s="2" t="s">
        <v>29</v>
      </c>
      <c r="P224" s="4">
        <v>20000</v>
      </c>
      <c r="Q224" s="4">
        <v>0</v>
      </c>
      <c r="R224" s="4">
        <v>0</v>
      </c>
      <c r="S224"/>
    </row>
    <row r="225" spans="2:19" x14ac:dyDescent="0.25">
      <c r="B225">
        <v>1</v>
      </c>
      <c r="C225" s="2" t="s">
        <v>22</v>
      </c>
      <c r="D225" s="2" t="s">
        <v>567</v>
      </c>
      <c r="E225" s="2" t="s">
        <v>568</v>
      </c>
      <c r="F225" s="2" t="s">
        <v>313</v>
      </c>
      <c r="G225" s="2" t="s">
        <v>17</v>
      </c>
      <c r="H225" s="2" t="s">
        <v>24</v>
      </c>
      <c r="I225" s="21">
        <v>1</v>
      </c>
      <c r="J225" s="1">
        <v>7002</v>
      </c>
      <c r="K225" s="3">
        <v>42914</v>
      </c>
      <c r="L225" s="4"/>
      <c r="M225" s="2" t="s">
        <v>314</v>
      </c>
      <c r="N225" s="2" t="s">
        <v>315</v>
      </c>
      <c r="O225" s="2" t="s">
        <v>29</v>
      </c>
      <c r="P225" s="4">
        <v>20000</v>
      </c>
      <c r="Q225" s="4">
        <v>0</v>
      </c>
      <c r="R225" s="4">
        <v>0</v>
      </c>
      <c r="S225"/>
    </row>
    <row r="226" spans="2:19" x14ac:dyDescent="0.25">
      <c r="B226">
        <v>1</v>
      </c>
      <c r="C226" s="2" t="s">
        <v>22</v>
      </c>
      <c r="D226" s="2" t="s">
        <v>569</v>
      </c>
      <c r="E226" s="2" t="s">
        <v>570</v>
      </c>
      <c r="F226" s="2" t="s">
        <v>313</v>
      </c>
      <c r="G226" s="2" t="s">
        <v>17</v>
      </c>
      <c r="H226" s="2" t="s">
        <v>24</v>
      </c>
      <c r="I226" s="21">
        <v>1</v>
      </c>
      <c r="J226" s="1">
        <v>7932</v>
      </c>
      <c r="K226" s="3">
        <v>42914</v>
      </c>
      <c r="L226" s="4"/>
      <c r="M226" s="2" t="s">
        <v>314</v>
      </c>
      <c r="N226" s="2" t="s">
        <v>315</v>
      </c>
      <c r="O226" s="2" t="s">
        <v>29</v>
      </c>
      <c r="P226" s="4">
        <v>21000</v>
      </c>
      <c r="Q226" s="4">
        <v>0</v>
      </c>
      <c r="R226" s="4">
        <v>0</v>
      </c>
      <c r="S226"/>
    </row>
    <row r="227" spans="2:19" x14ac:dyDescent="0.25">
      <c r="B227">
        <v>1</v>
      </c>
      <c r="C227" s="2" t="s">
        <v>22</v>
      </c>
      <c r="D227" s="2" t="s">
        <v>571</v>
      </c>
      <c r="E227" s="2" t="s">
        <v>572</v>
      </c>
      <c r="F227" s="2" t="s">
        <v>313</v>
      </c>
      <c r="G227" s="2" t="s">
        <v>17</v>
      </c>
      <c r="H227" s="2" t="s">
        <v>24</v>
      </c>
      <c r="I227" s="21">
        <v>1</v>
      </c>
      <c r="J227" s="1">
        <v>9187</v>
      </c>
      <c r="K227" s="3">
        <v>42914</v>
      </c>
      <c r="L227" s="4"/>
      <c r="M227" s="2" t="s">
        <v>314</v>
      </c>
      <c r="N227" s="2" t="s">
        <v>315</v>
      </c>
      <c r="O227" s="2" t="s">
        <v>29</v>
      </c>
      <c r="P227" s="4">
        <v>23000</v>
      </c>
      <c r="Q227" s="4">
        <v>0</v>
      </c>
      <c r="R227" s="4">
        <v>0</v>
      </c>
      <c r="S227"/>
    </row>
    <row r="228" spans="2:19" x14ac:dyDescent="0.25">
      <c r="B228">
        <v>1</v>
      </c>
      <c r="C228" s="2" t="s">
        <v>22</v>
      </c>
      <c r="D228" s="2" t="s">
        <v>573</v>
      </c>
      <c r="E228" s="2" t="s">
        <v>574</v>
      </c>
      <c r="F228" s="2" t="s">
        <v>313</v>
      </c>
      <c r="G228" s="2" t="s">
        <v>17</v>
      </c>
      <c r="H228" s="2" t="s">
        <v>24</v>
      </c>
      <c r="I228" s="21">
        <v>1</v>
      </c>
      <c r="J228" s="1">
        <v>8034</v>
      </c>
      <c r="K228" s="3">
        <v>42914</v>
      </c>
      <c r="L228" s="4"/>
      <c r="M228" s="2" t="s">
        <v>314</v>
      </c>
      <c r="N228" s="2" t="s">
        <v>315</v>
      </c>
      <c r="O228" s="2" t="s">
        <v>29</v>
      </c>
      <c r="P228" s="4">
        <v>21000</v>
      </c>
      <c r="Q228" s="4">
        <v>0</v>
      </c>
      <c r="R228" s="4">
        <v>0</v>
      </c>
      <c r="S228"/>
    </row>
    <row r="229" spans="2:19" x14ac:dyDescent="0.25">
      <c r="B229">
        <v>1</v>
      </c>
      <c r="C229" s="2" t="s">
        <v>22</v>
      </c>
      <c r="D229" s="2" t="s">
        <v>575</v>
      </c>
      <c r="E229" s="2" t="s">
        <v>576</v>
      </c>
      <c r="F229" s="2" t="s">
        <v>313</v>
      </c>
      <c r="G229" s="2" t="s">
        <v>17</v>
      </c>
      <c r="H229" s="2" t="s">
        <v>24</v>
      </c>
      <c r="I229" s="21">
        <v>1</v>
      </c>
      <c r="J229" s="1">
        <v>8011</v>
      </c>
      <c r="K229" s="3">
        <v>42914</v>
      </c>
      <c r="L229" s="4"/>
      <c r="M229" s="2" t="s">
        <v>315</v>
      </c>
      <c r="N229" s="2" t="s">
        <v>29</v>
      </c>
      <c r="O229" s="2" t="s">
        <v>29</v>
      </c>
      <c r="P229" s="4">
        <v>21000</v>
      </c>
      <c r="Q229" s="4">
        <v>0</v>
      </c>
      <c r="R229" s="4">
        <v>0</v>
      </c>
      <c r="S229"/>
    </row>
    <row r="230" spans="2:19" x14ac:dyDescent="0.25">
      <c r="B230">
        <v>1</v>
      </c>
      <c r="C230" s="2" t="s">
        <v>22</v>
      </c>
      <c r="D230" s="2" t="s">
        <v>577</v>
      </c>
      <c r="E230" s="2" t="s">
        <v>578</v>
      </c>
      <c r="F230" s="2" t="s">
        <v>313</v>
      </c>
      <c r="G230" s="2" t="s">
        <v>17</v>
      </c>
      <c r="H230" s="2" t="s">
        <v>24</v>
      </c>
      <c r="I230" s="21">
        <v>1</v>
      </c>
      <c r="J230" s="1">
        <v>5410</v>
      </c>
      <c r="K230" s="3">
        <v>42914</v>
      </c>
      <c r="L230" s="4"/>
      <c r="M230" s="2" t="s">
        <v>315</v>
      </c>
      <c r="N230" s="2" t="s">
        <v>29</v>
      </c>
      <c r="O230" s="2" t="s">
        <v>29</v>
      </c>
      <c r="P230" s="4">
        <v>17000</v>
      </c>
      <c r="Q230" s="4">
        <v>0</v>
      </c>
      <c r="R230" s="4">
        <v>0</v>
      </c>
      <c r="S230"/>
    </row>
    <row r="231" spans="2:19" x14ac:dyDescent="0.25">
      <c r="B231">
        <v>1</v>
      </c>
      <c r="C231" s="2" t="s">
        <v>22</v>
      </c>
      <c r="D231" s="2" t="s">
        <v>579</v>
      </c>
      <c r="E231" s="2" t="s">
        <v>580</v>
      </c>
      <c r="F231" s="2" t="s">
        <v>313</v>
      </c>
      <c r="G231" s="2" t="s">
        <v>17</v>
      </c>
      <c r="H231" s="2" t="s">
        <v>24</v>
      </c>
      <c r="I231" s="21">
        <v>1</v>
      </c>
      <c r="J231" s="1">
        <v>5626</v>
      </c>
      <c r="K231" s="3">
        <v>42914</v>
      </c>
      <c r="L231" s="4"/>
      <c r="M231" s="2" t="s">
        <v>315</v>
      </c>
      <c r="N231" s="2" t="s">
        <v>29</v>
      </c>
      <c r="O231" s="2" t="s">
        <v>29</v>
      </c>
      <c r="P231" s="4">
        <v>18000</v>
      </c>
      <c r="Q231" s="4">
        <v>0</v>
      </c>
      <c r="R231" s="4">
        <v>0</v>
      </c>
      <c r="S231"/>
    </row>
    <row r="232" spans="2:19" x14ac:dyDescent="0.25">
      <c r="B232">
        <v>1</v>
      </c>
      <c r="C232" s="2" t="s">
        <v>22</v>
      </c>
      <c r="D232" s="2" t="s">
        <v>581</v>
      </c>
      <c r="E232" s="2" t="s">
        <v>582</v>
      </c>
      <c r="F232" s="2" t="s">
        <v>313</v>
      </c>
      <c r="G232" s="2" t="s">
        <v>17</v>
      </c>
      <c r="H232" s="2" t="s">
        <v>24</v>
      </c>
      <c r="I232" s="21">
        <v>1</v>
      </c>
      <c r="J232" s="1">
        <v>5975</v>
      </c>
      <c r="K232" s="3">
        <v>42914</v>
      </c>
      <c r="L232" s="4"/>
      <c r="M232" s="2" t="s">
        <v>315</v>
      </c>
      <c r="N232" s="2" t="s">
        <v>29</v>
      </c>
      <c r="O232" s="2" t="s">
        <v>29</v>
      </c>
      <c r="P232" s="4">
        <v>18000</v>
      </c>
      <c r="Q232" s="4">
        <v>0</v>
      </c>
      <c r="R232" s="4">
        <v>0</v>
      </c>
      <c r="S232"/>
    </row>
    <row r="233" spans="2:19" x14ac:dyDescent="0.25">
      <c r="B233">
        <v>1</v>
      </c>
      <c r="C233" s="2" t="s">
        <v>22</v>
      </c>
      <c r="D233" s="2" t="s">
        <v>583</v>
      </c>
      <c r="E233" s="2" t="s">
        <v>584</v>
      </c>
      <c r="F233" s="2" t="s">
        <v>313</v>
      </c>
      <c r="G233" s="2" t="s">
        <v>17</v>
      </c>
      <c r="H233" s="2" t="s">
        <v>24</v>
      </c>
      <c r="I233" s="21">
        <v>1</v>
      </c>
      <c r="J233" s="1">
        <v>6262</v>
      </c>
      <c r="K233" s="3">
        <v>42914</v>
      </c>
      <c r="L233" s="4"/>
      <c r="M233" s="2" t="s">
        <v>315</v>
      </c>
      <c r="N233" s="2" t="s">
        <v>29</v>
      </c>
      <c r="O233" s="2" t="s">
        <v>29</v>
      </c>
      <c r="P233" s="4">
        <v>19000</v>
      </c>
      <c r="Q233" s="4">
        <v>0</v>
      </c>
      <c r="R233" s="4">
        <v>0</v>
      </c>
      <c r="S233"/>
    </row>
    <row r="234" spans="2:19" x14ac:dyDescent="0.25">
      <c r="B234">
        <v>1</v>
      </c>
      <c r="C234" s="2" t="s">
        <v>22</v>
      </c>
      <c r="D234" s="2" t="s">
        <v>585</v>
      </c>
      <c r="E234" s="2" t="s">
        <v>586</v>
      </c>
      <c r="F234" s="2" t="s">
        <v>313</v>
      </c>
      <c r="G234" s="2" t="s">
        <v>17</v>
      </c>
      <c r="H234" s="2" t="s">
        <v>24</v>
      </c>
      <c r="I234" s="21">
        <v>1</v>
      </c>
      <c r="J234" s="1">
        <v>6530</v>
      </c>
      <c r="K234" s="3">
        <v>42914</v>
      </c>
      <c r="L234" s="4"/>
      <c r="M234" s="2" t="s">
        <v>315</v>
      </c>
      <c r="N234" s="2" t="s">
        <v>29</v>
      </c>
      <c r="O234" s="2" t="s">
        <v>29</v>
      </c>
      <c r="P234" s="4">
        <v>19000</v>
      </c>
      <c r="Q234" s="4">
        <v>0</v>
      </c>
      <c r="R234" s="4">
        <v>0</v>
      </c>
      <c r="S234"/>
    </row>
    <row r="235" spans="2:19" x14ac:dyDescent="0.25">
      <c r="B235">
        <v>1</v>
      </c>
      <c r="C235" s="2" t="s">
        <v>22</v>
      </c>
      <c r="D235" s="2" t="s">
        <v>587</v>
      </c>
      <c r="E235" s="2" t="s">
        <v>588</v>
      </c>
      <c r="F235" s="2" t="s">
        <v>313</v>
      </c>
      <c r="G235" s="2" t="s">
        <v>17</v>
      </c>
      <c r="H235" s="2" t="s">
        <v>24</v>
      </c>
      <c r="I235" s="21">
        <v>1</v>
      </c>
      <c r="J235" s="1">
        <v>7832</v>
      </c>
      <c r="K235" s="3">
        <v>42914</v>
      </c>
      <c r="L235" s="4"/>
      <c r="M235" s="2" t="s">
        <v>315</v>
      </c>
      <c r="N235" s="2" t="s">
        <v>29</v>
      </c>
      <c r="O235" s="2" t="s">
        <v>29</v>
      </c>
      <c r="P235" s="4">
        <v>21000</v>
      </c>
      <c r="Q235" s="4">
        <v>0</v>
      </c>
      <c r="R235" s="4">
        <v>0</v>
      </c>
      <c r="S235"/>
    </row>
    <row r="236" spans="2:19" x14ac:dyDescent="0.25">
      <c r="B236">
        <v>1</v>
      </c>
      <c r="C236" s="2" t="s">
        <v>22</v>
      </c>
      <c r="D236" s="2" t="s">
        <v>589</v>
      </c>
      <c r="E236" s="2" t="s">
        <v>590</v>
      </c>
      <c r="F236" s="2" t="s">
        <v>313</v>
      </c>
      <c r="G236" s="2" t="s">
        <v>17</v>
      </c>
      <c r="H236" s="2" t="s">
        <v>24</v>
      </c>
      <c r="I236" s="21">
        <v>1</v>
      </c>
      <c r="J236" s="1">
        <v>6550</v>
      </c>
      <c r="K236" s="3">
        <v>42914</v>
      </c>
      <c r="L236" s="4"/>
      <c r="M236" s="2" t="s">
        <v>314</v>
      </c>
      <c r="N236" s="2" t="s">
        <v>315</v>
      </c>
      <c r="O236" s="2" t="s">
        <v>316</v>
      </c>
      <c r="P236" s="4">
        <v>19000</v>
      </c>
      <c r="Q236" s="4">
        <v>0</v>
      </c>
      <c r="R236" s="4">
        <v>0</v>
      </c>
      <c r="S236"/>
    </row>
    <row r="237" spans="2:19" x14ac:dyDescent="0.25">
      <c r="B237">
        <v>1</v>
      </c>
      <c r="C237" s="2" t="s">
        <v>22</v>
      </c>
      <c r="D237" s="2" t="s">
        <v>591</v>
      </c>
      <c r="E237" s="2" t="s">
        <v>592</v>
      </c>
      <c r="F237" s="2" t="s">
        <v>313</v>
      </c>
      <c r="G237" s="2" t="s">
        <v>17</v>
      </c>
      <c r="H237" s="2" t="s">
        <v>24</v>
      </c>
      <c r="I237" s="21">
        <v>1</v>
      </c>
      <c r="J237" s="1">
        <v>6845</v>
      </c>
      <c r="K237" s="3">
        <v>42914</v>
      </c>
      <c r="L237" s="4"/>
      <c r="M237" s="2" t="s">
        <v>314</v>
      </c>
      <c r="N237" s="2" t="s">
        <v>315</v>
      </c>
      <c r="O237" s="2" t="s">
        <v>316</v>
      </c>
      <c r="P237" s="4">
        <v>19000</v>
      </c>
      <c r="Q237" s="4">
        <v>0</v>
      </c>
      <c r="R237" s="4">
        <v>0</v>
      </c>
      <c r="S237"/>
    </row>
    <row r="238" spans="2:19" x14ac:dyDescent="0.25">
      <c r="B238">
        <v>1</v>
      </c>
      <c r="C238" s="2" t="s">
        <v>22</v>
      </c>
      <c r="D238" s="2" t="s">
        <v>593</v>
      </c>
      <c r="E238" s="2" t="s">
        <v>594</v>
      </c>
      <c r="F238" s="2" t="s">
        <v>313</v>
      </c>
      <c r="G238" s="2" t="s">
        <v>17</v>
      </c>
      <c r="H238" s="2" t="s">
        <v>24</v>
      </c>
      <c r="I238" s="21">
        <v>1</v>
      </c>
      <c r="J238" s="1">
        <v>5863</v>
      </c>
      <c r="K238" s="3">
        <v>42914</v>
      </c>
      <c r="L238" s="4"/>
      <c r="M238" s="2" t="s">
        <v>314</v>
      </c>
      <c r="N238" s="2" t="s">
        <v>315</v>
      </c>
      <c r="O238" s="2" t="s">
        <v>316</v>
      </c>
      <c r="P238" s="4">
        <v>18000</v>
      </c>
      <c r="Q238" s="4">
        <v>0</v>
      </c>
      <c r="R238" s="4">
        <v>0</v>
      </c>
      <c r="S238"/>
    </row>
    <row r="239" spans="2:19" x14ac:dyDescent="0.25">
      <c r="B239">
        <v>1</v>
      </c>
      <c r="C239" s="2" t="s">
        <v>22</v>
      </c>
      <c r="D239" s="2" t="s">
        <v>595</v>
      </c>
      <c r="E239" s="2" t="s">
        <v>596</v>
      </c>
      <c r="F239" s="2" t="s">
        <v>313</v>
      </c>
      <c r="G239" s="2" t="s">
        <v>17</v>
      </c>
      <c r="H239" s="2" t="s">
        <v>24</v>
      </c>
      <c r="I239" s="21">
        <v>1</v>
      </c>
      <c r="J239" s="1">
        <v>7770</v>
      </c>
      <c r="K239" s="3">
        <v>42914</v>
      </c>
      <c r="L239" s="4"/>
      <c r="M239" s="2" t="s">
        <v>314</v>
      </c>
      <c r="N239" s="2" t="s">
        <v>315</v>
      </c>
      <c r="O239" s="2" t="s">
        <v>316</v>
      </c>
      <c r="P239" s="4">
        <v>21000</v>
      </c>
      <c r="Q239" s="4">
        <v>0</v>
      </c>
      <c r="R239" s="4">
        <v>0</v>
      </c>
      <c r="S239"/>
    </row>
    <row r="240" spans="2:19" x14ac:dyDescent="0.25">
      <c r="B240">
        <v>1</v>
      </c>
      <c r="C240" s="2" t="s">
        <v>22</v>
      </c>
      <c r="D240" s="2" t="s">
        <v>597</v>
      </c>
      <c r="E240" s="2" t="s">
        <v>598</v>
      </c>
      <c r="F240" s="2" t="s">
        <v>313</v>
      </c>
      <c r="G240" s="2" t="s">
        <v>17</v>
      </c>
      <c r="H240" s="2" t="s">
        <v>24</v>
      </c>
      <c r="I240" s="21">
        <v>1</v>
      </c>
      <c r="J240" s="1">
        <v>7663</v>
      </c>
      <c r="K240" s="3">
        <v>42914</v>
      </c>
      <c r="L240" s="4"/>
      <c r="M240" s="2" t="s">
        <v>314</v>
      </c>
      <c r="N240" s="2" t="s">
        <v>315</v>
      </c>
      <c r="O240" s="2" t="s">
        <v>316</v>
      </c>
      <c r="P240" s="4">
        <v>21000</v>
      </c>
      <c r="Q240" s="4">
        <v>0</v>
      </c>
      <c r="R240" s="4">
        <v>0</v>
      </c>
      <c r="S240"/>
    </row>
    <row r="241" spans="2:19" x14ac:dyDescent="0.25">
      <c r="B241">
        <v>1</v>
      </c>
      <c r="C241" s="2" t="s">
        <v>22</v>
      </c>
      <c r="D241" s="2" t="s">
        <v>599</v>
      </c>
      <c r="E241" s="2" t="s">
        <v>600</v>
      </c>
      <c r="F241" s="2" t="s">
        <v>313</v>
      </c>
      <c r="G241" s="2" t="s">
        <v>17</v>
      </c>
      <c r="H241" s="2" t="s">
        <v>24</v>
      </c>
      <c r="I241" s="21">
        <v>1</v>
      </c>
      <c r="J241" s="1">
        <v>7122</v>
      </c>
      <c r="K241" s="3">
        <v>42914</v>
      </c>
      <c r="L241" s="4"/>
      <c r="M241" s="2" t="s">
        <v>314</v>
      </c>
      <c r="N241" s="2" t="s">
        <v>315</v>
      </c>
      <c r="O241" s="2" t="s">
        <v>316</v>
      </c>
      <c r="P241" s="4">
        <v>20000</v>
      </c>
      <c r="Q241" s="4">
        <v>0</v>
      </c>
      <c r="R241" s="4">
        <v>0</v>
      </c>
      <c r="S241"/>
    </row>
    <row r="242" spans="2:19" x14ac:dyDescent="0.25">
      <c r="B242">
        <v>1</v>
      </c>
      <c r="C242" s="2" t="s">
        <v>22</v>
      </c>
      <c r="D242" s="2" t="s">
        <v>601</v>
      </c>
      <c r="E242" s="2" t="s">
        <v>602</v>
      </c>
      <c r="F242" s="2" t="s">
        <v>313</v>
      </c>
      <c r="G242" s="2" t="s">
        <v>17</v>
      </c>
      <c r="H242" s="2" t="s">
        <v>24</v>
      </c>
      <c r="I242" s="21">
        <v>1</v>
      </c>
      <c r="J242" s="1">
        <v>7293</v>
      </c>
      <c r="K242" s="3">
        <v>42914</v>
      </c>
      <c r="L242" s="4"/>
      <c r="M242" s="2" t="s">
        <v>314</v>
      </c>
      <c r="N242" s="2" t="s">
        <v>315</v>
      </c>
      <c r="O242" s="2" t="s">
        <v>316</v>
      </c>
      <c r="P242" s="4">
        <v>20000</v>
      </c>
      <c r="Q242" s="4">
        <v>0</v>
      </c>
      <c r="R242" s="4">
        <v>0</v>
      </c>
      <c r="S242"/>
    </row>
    <row r="243" spans="2:19" x14ac:dyDescent="0.25">
      <c r="B243">
        <v>1</v>
      </c>
      <c r="C243" s="2" t="s">
        <v>22</v>
      </c>
      <c r="D243" s="2" t="s">
        <v>603</v>
      </c>
      <c r="E243" s="2" t="s">
        <v>604</v>
      </c>
      <c r="F243" s="2" t="s">
        <v>313</v>
      </c>
      <c r="G243" s="2" t="s">
        <v>17</v>
      </c>
      <c r="H243" s="2" t="s">
        <v>24</v>
      </c>
      <c r="I243" s="21">
        <v>1</v>
      </c>
      <c r="J243" s="1">
        <v>8697</v>
      </c>
      <c r="K243" s="3">
        <v>42914</v>
      </c>
      <c r="L243" s="4"/>
      <c r="M243" s="2" t="s">
        <v>314</v>
      </c>
      <c r="N243" s="2" t="s">
        <v>315</v>
      </c>
      <c r="O243" s="2" t="s">
        <v>316</v>
      </c>
      <c r="P243" s="4">
        <v>22000</v>
      </c>
      <c r="Q243" s="4">
        <v>0</v>
      </c>
      <c r="R243" s="4">
        <v>0</v>
      </c>
      <c r="S243"/>
    </row>
    <row r="244" spans="2:19" x14ac:dyDescent="0.25">
      <c r="B244">
        <v>1</v>
      </c>
      <c r="C244" s="2" t="s">
        <v>22</v>
      </c>
      <c r="D244" s="2" t="s">
        <v>605</v>
      </c>
      <c r="E244" s="2" t="s">
        <v>606</v>
      </c>
      <c r="F244" s="2" t="s">
        <v>313</v>
      </c>
      <c r="G244" s="2" t="s">
        <v>17</v>
      </c>
      <c r="H244" s="2" t="s">
        <v>24</v>
      </c>
      <c r="I244" s="21">
        <v>1</v>
      </c>
      <c r="J244" s="1">
        <v>9531</v>
      </c>
      <c r="K244" s="3">
        <v>42914</v>
      </c>
      <c r="L244" s="4"/>
      <c r="M244" s="2" t="s">
        <v>314</v>
      </c>
      <c r="N244" s="2" t="s">
        <v>315</v>
      </c>
      <c r="O244" s="2" t="s">
        <v>316</v>
      </c>
      <c r="P244" s="4">
        <v>23000</v>
      </c>
      <c r="Q244" s="4">
        <v>0</v>
      </c>
      <c r="R244" s="4">
        <v>0</v>
      </c>
      <c r="S244"/>
    </row>
    <row r="245" spans="2:19" x14ac:dyDescent="0.25">
      <c r="B245">
        <v>1</v>
      </c>
      <c r="C245" s="2" t="s">
        <v>22</v>
      </c>
      <c r="D245" s="2" t="s">
        <v>607</v>
      </c>
      <c r="E245" s="2" t="s">
        <v>608</v>
      </c>
      <c r="F245" s="2" t="s">
        <v>313</v>
      </c>
      <c r="G245" s="2" t="s">
        <v>17</v>
      </c>
      <c r="H245" s="2" t="s">
        <v>24</v>
      </c>
      <c r="I245" s="21">
        <v>1</v>
      </c>
      <c r="J245" s="1">
        <v>9639</v>
      </c>
      <c r="K245" s="3">
        <v>42914</v>
      </c>
      <c r="L245" s="4"/>
      <c r="M245" s="2" t="s">
        <v>314</v>
      </c>
      <c r="N245" s="2" t="s">
        <v>315</v>
      </c>
      <c r="O245" s="2" t="s">
        <v>316</v>
      </c>
      <c r="P245" s="4">
        <v>23000</v>
      </c>
      <c r="Q245" s="4">
        <v>0</v>
      </c>
      <c r="R245" s="4">
        <v>0</v>
      </c>
      <c r="S245"/>
    </row>
    <row r="246" spans="2:19" x14ac:dyDescent="0.25">
      <c r="B246">
        <v>1</v>
      </c>
      <c r="C246" s="2" t="s">
        <v>22</v>
      </c>
      <c r="D246" s="2" t="s">
        <v>609</v>
      </c>
      <c r="E246" s="2" t="s">
        <v>610</v>
      </c>
      <c r="F246" s="2" t="s">
        <v>313</v>
      </c>
      <c r="G246" s="2" t="s">
        <v>17</v>
      </c>
      <c r="H246" s="2" t="s">
        <v>24</v>
      </c>
      <c r="I246" s="21">
        <v>1</v>
      </c>
      <c r="J246" s="1">
        <v>9506</v>
      </c>
      <c r="K246" s="3">
        <v>42914</v>
      </c>
      <c r="L246" s="4"/>
      <c r="M246" s="2" t="s">
        <v>314</v>
      </c>
      <c r="N246" s="2" t="s">
        <v>315</v>
      </c>
      <c r="O246" s="2" t="s">
        <v>29</v>
      </c>
      <c r="P246" s="4">
        <v>23000</v>
      </c>
      <c r="Q246" s="4">
        <v>0</v>
      </c>
      <c r="R246" s="4">
        <v>0</v>
      </c>
      <c r="S246"/>
    </row>
    <row r="247" spans="2:19" x14ac:dyDescent="0.25">
      <c r="B247">
        <v>1</v>
      </c>
      <c r="C247" s="2" t="s">
        <v>22</v>
      </c>
      <c r="D247" s="2" t="s">
        <v>611</v>
      </c>
      <c r="E247" s="2" t="s">
        <v>612</v>
      </c>
      <c r="F247" s="2" t="s">
        <v>313</v>
      </c>
      <c r="G247" s="2" t="s">
        <v>17</v>
      </c>
      <c r="H247" s="2" t="s">
        <v>24</v>
      </c>
      <c r="I247" s="21">
        <v>1</v>
      </c>
      <c r="J247" s="1">
        <v>8208</v>
      </c>
      <c r="K247" s="3">
        <v>42914</v>
      </c>
      <c r="L247" s="4"/>
      <c r="M247" s="2" t="s">
        <v>314</v>
      </c>
      <c r="N247" s="2" t="s">
        <v>315</v>
      </c>
      <c r="O247" s="2" t="s">
        <v>29</v>
      </c>
      <c r="P247" s="4">
        <v>21000</v>
      </c>
      <c r="Q247" s="4">
        <v>0</v>
      </c>
      <c r="R247" s="4">
        <v>0</v>
      </c>
      <c r="S247"/>
    </row>
    <row r="248" spans="2:19" x14ac:dyDescent="0.25">
      <c r="B248">
        <v>1</v>
      </c>
      <c r="C248" s="2" t="s">
        <v>22</v>
      </c>
      <c r="D248" s="2" t="s">
        <v>613</v>
      </c>
      <c r="E248" s="2" t="s">
        <v>614</v>
      </c>
      <c r="F248" s="2" t="s">
        <v>313</v>
      </c>
      <c r="G248" s="2" t="s">
        <v>17</v>
      </c>
      <c r="H248" s="2" t="s">
        <v>24</v>
      </c>
      <c r="I248" s="21">
        <v>1</v>
      </c>
      <c r="J248" s="1">
        <v>7320</v>
      </c>
      <c r="K248" s="3">
        <v>42914</v>
      </c>
      <c r="L248" s="4"/>
      <c r="M248" s="2" t="s">
        <v>314</v>
      </c>
      <c r="N248" s="2" t="s">
        <v>315</v>
      </c>
      <c r="O248" s="2" t="s">
        <v>29</v>
      </c>
      <c r="P248" s="4">
        <v>20000</v>
      </c>
      <c r="Q248" s="4">
        <v>0</v>
      </c>
      <c r="R248" s="4">
        <v>0</v>
      </c>
      <c r="S248"/>
    </row>
    <row r="249" spans="2:19" x14ac:dyDescent="0.25">
      <c r="B249">
        <v>1</v>
      </c>
      <c r="C249" s="2" t="s">
        <v>22</v>
      </c>
      <c r="D249" s="2" t="s">
        <v>615</v>
      </c>
      <c r="E249" s="2" t="s">
        <v>616</v>
      </c>
      <c r="F249" s="2" t="s">
        <v>313</v>
      </c>
      <c r="G249" s="2" t="s">
        <v>17</v>
      </c>
      <c r="H249" s="2" t="s">
        <v>24</v>
      </c>
      <c r="I249" s="21">
        <v>1</v>
      </c>
      <c r="J249" s="1">
        <v>7495</v>
      </c>
      <c r="K249" s="3">
        <v>42914</v>
      </c>
      <c r="L249" s="4"/>
      <c r="M249" s="2" t="s">
        <v>315</v>
      </c>
      <c r="N249" s="2" t="s">
        <v>29</v>
      </c>
      <c r="O249" s="2" t="s">
        <v>29</v>
      </c>
      <c r="P249" s="4">
        <v>20000</v>
      </c>
      <c r="Q249" s="4">
        <v>0</v>
      </c>
      <c r="R249" s="4">
        <v>0</v>
      </c>
      <c r="S249"/>
    </row>
    <row r="250" spans="2:19" x14ac:dyDescent="0.25">
      <c r="B250">
        <v>1</v>
      </c>
      <c r="C250" s="2" t="s">
        <v>22</v>
      </c>
      <c r="D250" s="2" t="s">
        <v>617</v>
      </c>
      <c r="E250" s="2" t="s">
        <v>618</v>
      </c>
      <c r="F250" s="2" t="s">
        <v>313</v>
      </c>
      <c r="G250" s="2" t="s">
        <v>17</v>
      </c>
      <c r="H250" s="2" t="s">
        <v>24</v>
      </c>
      <c r="I250" s="21">
        <v>1</v>
      </c>
      <c r="J250" s="1">
        <v>7358</v>
      </c>
      <c r="K250" s="3">
        <v>42914</v>
      </c>
      <c r="L250" s="4"/>
      <c r="M250" s="2" t="s">
        <v>314</v>
      </c>
      <c r="N250" s="2" t="s">
        <v>315</v>
      </c>
      <c r="O250" s="2" t="s">
        <v>29</v>
      </c>
      <c r="P250" s="4">
        <v>20000</v>
      </c>
      <c r="Q250" s="4">
        <v>0</v>
      </c>
      <c r="R250" s="4">
        <v>0</v>
      </c>
      <c r="S250"/>
    </row>
    <row r="251" spans="2:19" x14ac:dyDescent="0.25">
      <c r="B251">
        <v>1</v>
      </c>
      <c r="C251" s="2" t="s">
        <v>22</v>
      </c>
      <c r="D251" s="2" t="s">
        <v>619</v>
      </c>
      <c r="E251" s="2" t="s">
        <v>620</v>
      </c>
      <c r="F251" s="2" t="s">
        <v>313</v>
      </c>
      <c r="G251" s="2" t="s">
        <v>17</v>
      </c>
      <c r="H251" s="2" t="s">
        <v>24</v>
      </c>
      <c r="I251" s="21">
        <v>1</v>
      </c>
      <c r="J251" s="1">
        <v>8277</v>
      </c>
      <c r="K251" s="3">
        <v>42914</v>
      </c>
      <c r="L251" s="4"/>
      <c r="M251" s="2" t="s">
        <v>315</v>
      </c>
      <c r="N251" s="2" t="s">
        <v>29</v>
      </c>
      <c r="O251" s="2" t="s">
        <v>29</v>
      </c>
      <c r="P251" s="4">
        <v>21000</v>
      </c>
      <c r="Q251" s="4">
        <v>0</v>
      </c>
      <c r="R251" s="4">
        <v>0</v>
      </c>
      <c r="S251"/>
    </row>
    <row r="252" spans="2:19" x14ac:dyDescent="0.25">
      <c r="B252">
        <v>1</v>
      </c>
      <c r="C252" s="2" t="s">
        <v>22</v>
      </c>
      <c r="D252" s="2" t="s">
        <v>621</v>
      </c>
      <c r="E252" s="2" t="s">
        <v>622</v>
      </c>
      <c r="F252" s="2" t="s">
        <v>313</v>
      </c>
      <c r="G252" s="2" t="s">
        <v>17</v>
      </c>
      <c r="H252" s="2" t="s">
        <v>24</v>
      </c>
      <c r="I252" s="21">
        <v>1</v>
      </c>
      <c r="J252" s="1">
        <v>8240</v>
      </c>
      <c r="K252" s="3">
        <v>42914</v>
      </c>
      <c r="L252" s="4"/>
      <c r="M252" s="2" t="s">
        <v>314</v>
      </c>
      <c r="N252" s="2" t="s">
        <v>315</v>
      </c>
      <c r="O252" s="2" t="s">
        <v>29</v>
      </c>
      <c r="P252" s="4">
        <v>21000</v>
      </c>
      <c r="Q252" s="4">
        <v>0</v>
      </c>
      <c r="R252" s="4">
        <v>0</v>
      </c>
      <c r="S252"/>
    </row>
    <row r="253" spans="2:19" x14ac:dyDescent="0.25">
      <c r="B253">
        <v>1</v>
      </c>
      <c r="C253" s="2" t="s">
        <v>22</v>
      </c>
      <c r="D253" s="2" t="s">
        <v>623</v>
      </c>
      <c r="E253" s="2" t="s">
        <v>624</v>
      </c>
      <c r="F253" s="2" t="s">
        <v>313</v>
      </c>
      <c r="G253" s="2" t="s">
        <v>17</v>
      </c>
      <c r="H253" s="2" t="s">
        <v>24</v>
      </c>
      <c r="I253" s="21">
        <v>1</v>
      </c>
      <c r="J253" s="1">
        <v>7350</v>
      </c>
      <c r="K253" s="3">
        <v>42914</v>
      </c>
      <c r="L253" s="4"/>
      <c r="M253" s="2" t="s">
        <v>314</v>
      </c>
      <c r="N253" s="2" t="s">
        <v>315</v>
      </c>
      <c r="O253" s="2" t="s">
        <v>29</v>
      </c>
      <c r="P253" s="4">
        <v>20000</v>
      </c>
      <c r="Q253" s="4">
        <v>0</v>
      </c>
      <c r="R253" s="4">
        <v>0</v>
      </c>
      <c r="S253"/>
    </row>
    <row r="254" spans="2:19" x14ac:dyDescent="0.25">
      <c r="B254">
        <v>1</v>
      </c>
      <c r="C254" s="2" t="s">
        <v>22</v>
      </c>
      <c r="D254" s="2" t="s">
        <v>625</v>
      </c>
      <c r="E254" s="2" t="s">
        <v>626</v>
      </c>
      <c r="F254" s="2" t="s">
        <v>313</v>
      </c>
      <c r="G254" s="2" t="s">
        <v>17</v>
      </c>
      <c r="H254" s="2" t="s">
        <v>24</v>
      </c>
      <c r="I254" s="21">
        <v>1</v>
      </c>
      <c r="J254" s="1">
        <v>7439</v>
      </c>
      <c r="K254" s="3">
        <v>42914</v>
      </c>
      <c r="L254" s="4"/>
      <c r="M254" s="2" t="s">
        <v>314</v>
      </c>
      <c r="N254" s="2" t="s">
        <v>315</v>
      </c>
      <c r="O254" s="2" t="s">
        <v>29</v>
      </c>
      <c r="P254" s="4">
        <v>20000</v>
      </c>
      <c r="Q254" s="4">
        <v>0</v>
      </c>
      <c r="R254" s="4">
        <v>0</v>
      </c>
      <c r="S254"/>
    </row>
    <row r="255" spans="2:19" x14ac:dyDescent="0.25">
      <c r="B255">
        <v>1</v>
      </c>
      <c r="C255" s="2" t="s">
        <v>22</v>
      </c>
      <c r="D255" s="2" t="s">
        <v>627</v>
      </c>
      <c r="E255" s="2" t="s">
        <v>628</v>
      </c>
      <c r="F255" s="2" t="s">
        <v>313</v>
      </c>
      <c r="G255" s="2" t="s">
        <v>17</v>
      </c>
      <c r="H255" s="2" t="s">
        <v>24</v>
      </c>
      <c r="I255" s="21">
        <v>1</v>
      </c>
      <c r="J255" s="1">
        <v>8569</v>
      </c>
      <c r="K255" s="3">
        <v>42914</v>
      </c>
      <c r="L255" s="4"/>
      <c r="M255" s="2" t="s">
        <v>315</v>
      </c>
      <c r="N255" s="2" t="s">
        <v>29</v>
      </c>
      <c r="O255" s="2" t="s">
        <v>29</v>
      </c>
      <c r="P255" s="4">
        <v>22000</v>
      </c>
      <c r="Q255" s="4">
        <v>0</v>
      </c>
      <c r="R255" s="4">
        <v>0</v>
      </c>
      <c r="S255"/>
    </row>
    <row r="256" spans="2:19" x14ac:dyDescent="0.25">
      <c r="B256">
        <v>1</v>
      </c>
      <c r="C256" s="2" t="s">
        <v>22</v>
      </c>
      <c r="D256" s="2" t="s">
        <v>629</v>
      </c>
      <c r="E256" s="2" t="s">
        <v>630</v>
      </c>
      <c r="F256" s="2" t="s">
        <v>313</v>
      </c>
      <c r="G256" s="2" t="s">
        <v>17</v>
      </c>
      <c r="H256" s="2" t="s">
        <v>24</v>
      </c>
      <c r="I256" s="21">
        <v>1</v>
      </c>
      <c r="J256" s="1">
        <v>9287</v>
      </c>
      <c r="K256" s="3">
        <v>42914</v>
      </c>
      <c r="L256" s="4"/>
      <c r="M256" s="2" t="s">
        <v>315</v>
      </c>
      <c r="N256" s="2" t="s">
        <v>29</v>
      </c>
      <c r="O256" s="2" t="s">
        <v>29</v>
      </c>
      <c r="P256" s="4">
        <v>23000</v>
      </c>
      <c r="Q256" s="4">
        <v>0</v>
      </c>
      <c r="R256" s="4">
        <v>0</v>
      </c>
      <c r="S256"/>
    </row>
    <row r="257" spans="2:19" x14ac:dyDescent="0.25">
      <c r="B257">
        <v>1</v>
      </c>
      <c r="C257" s="2" t="s">
        <v>22</v>
      </c>
      <c r="D257" s="2" t="s">
        <v>631</v>
      </c>
      <c r="E257" s="2" t="s">
        <v>632</v>
      </c>
      <c r="F257" s="2" t="s">
        <v>313</v>
      </c>
      <c r="G257" s="2" t="s">
        <v>17</v>
      </c>
      <c r="H257" s="2" t="s">
        <v>24</v>
      </c>
      <c r="I257" s="21">
        <v>1</v>
      </c>
      <c r="J257" s="1">
        <v>10053</v>
      </c>
      <c r="K257" s="3">
        <v>42914</v>
      </c>
      <c r="L257" s="4"/>
      <c r="M257" s="2" t="s">
        <v>314</v>
      </c>
      <c r="N257" s="2" t="s">
        <v>315</v>
      </c>
      <c r="O257" s="2" t="s">
        <v>316</v>
      </c>
      <c r="P257" s="4">
        <v>24000</v>
      </c>
      <c r="Q257" s="4">
        <v>0</v>
      </c>
      <c r="R257" s="4">
        <v>0</v>
      </c>
      <c r="S257"/>
    </row>
    <row r="258" spans="2:19" x14ac:dyDescent="0.25">
      <c r="B258">
        <v>1</v>
      </c>
      <c r="C258" s="2" t="s">
        <v>22</v>
      </c>
      <c r="D258" s="2" t="s">
        <v>633</v>
      </c>
      <c r="E258" s="2" t="s">
        <v>634</v>
      </c>
      <c r="F258" s="2" t="s">
        <v>313</v>
      </c>
      <c r="G258" s="2" t="s">
        <v>17</v>
      </c>
      <c r="H258" s="2" t="s">
        <v>24</v>
      </c>
      <c r="I258" s="21">
        <v>1</v>
      </c>
      <c r="J258" s="1">
        <v>10270</v>
      </c>
      <c r="K258" s="3">
        <v>42914</v>
      </c>
      <c r="L258" s="4"/>
      <c r="M258" s="2" t="s">
        <v>314</v>
      </c>
      <c r="N258" s="2" t="s">
        <v>315</v>
      </c>
      <c r="O258" s="2" t="s">
        <v>316</v>
      </c>
      <c r="P258" s="4">
        <v>24000</v>
      </c>
      <c r="Q258" s="4">
        <v>0</v>
      </c>
      <c r="R258" s="4">
        <v>0</v>
      </c>
      <c r="S258"/>
    </row>
    <row r="259" spans="2:19" x14ac:dyDescent="0.25">
      <c r="B259">
        <v>1</v>
      </c>
      <c r="C259" s="2" t="s">
        <v>22</v>
      </c>
      <c r="D259" s="2" t="s">
        <v>635</v>
      </c>
      <c r="E259" s="2" t="s">
        <v>636</v>
      </c>
      <c r="F259" s="2" t="s">
        <v>313</v>
      </c>
      <c r="G259" s="2" t="s">
        <v>17</v>
      </c>
      <c r="H259" s="2" t="s">
        <v>24</v>
      </c>
      <c r="I259" s="21">
        <v>1</v>
      </c>
      <c r="J259" s="1">
        <v>9602</v>
      </c>
      <c r="K259" s="3">
        <v>42914</v>
      </c>
      <c r="L259" s="4"/>
      <c r="M259" s="2" t="s">
        <v>314</v>
      </c>
      <c r="N259" s="2" t="s">
        <v>315</v>
      </c>
      <c r="O259" s="2" t="s">
        <v>316</v>
      </c>
      <c r="P259" s="4">
        <v>23000</v>
      </c>
      <c r="Q259" s="4">
        <v>0</v>
      </c>
      <c r="R259" s="4">
        <v>0</v>
      </c>
      <c r="S259"/>
    </row>
    <row r="260" spans="2:19" x14ac:dyDescent="0.25">
      <c r="B260">
        <v>1</v>
      </c>
      <c r="C260" s="2" t="s">
        <v>22</v>
      </c>
      <c r="D260" s="2" t="s">
        <v>637</v>
      </c>
      <c r="E260" s="2" t="s">
        <v>638</v>
      </c>
      <c r="F260" s="2" t="s">
        <v>313</v>
      </c>
      <c r="G260" s="2" t="s">
        <v>17</v>
      </c>
      <c r="H260" s="2" t="s">
        <v>24</v>
      </c>
      <c r="I260" s="21">
        <v>1</v>
      </c>
      <c r="J260" s="1">
        <v>8353</v>
      </c>
      <c r="K260" s="3">
        <v>42914</v>
      </c>
      <c r="L260" s="4"/>
      <c r="M260" s="2" t="s">
        <v>314</v>
      </c>
      <c r="N260" s="2" t="s">
        <v>315</v>
      </c>
      <c r="O260" s="2" t="s">
        <v>316</v>
      </c>
      <c r="P260" s="4">
        <v>22000</v>
      </c>
      <c r="Q260" s="4">
        <v>0</v>
      </c>
      <c r="R260" s="4">
        <v>0</v>
      </c>
      <c r="S260"/>
    </row>
    <row r="261" spans="2:19" x14ac:dyDescent="0.25">
      <c r="B261">
        <v>1</v>
      </c>
      <c r="C261" s="2" t="s">
        <v>22</v>
      </c>
      <c r="D261" s="2" t="s">
        <v>639</v>
      </c>
      <c r="E261" s="2" t="s">
        <v>640</v>
      </c>
      <c r="F261" s="2" t="s">
        <v>313</v>
      </c>
      <c r="G261" s="2" t="s">
        <v>17</v>
      </c>
      <c r="H261" s="2" t="s">
        <v>24</v>
      </c>
      <c r="I261" s="21">
        <v>1</v>
      </c>
      <c r="J261" s="1">
        <v>8463</v>
      </c>
      <c r="K261" s="3">
        <v>42914</v>
      </c>
      <c r="L261" s="4"/>
      <c r="M261" s="2" t="s">
        <v>314</v>
      </c>
      <c r="N261" s="2" t="s">
        <v>315</v>
      </c>
      <c r="O261" s="2" t="s">
        <v>316</v>
      </c>
      <c r="P261" s="4">
        <v>22000</v>
      </c>
      <c r="Q261" s="4">
        <v>0</v>
      </c>
      <c r="R261" s="4">
        <v>0</v>
      </c>
      <c r="S261"/>
    </row>
    <row r="262" spans="2:19" x14ac:dyDescent="0.25">
      <c r="B262">
        <v>1</v>
      </c>
      <c r="C262" s="2" t="s">
        <v>22</v>
      </c>
      <c r="D262" s="2" t="s">
        <v>641</v>
      </c>
      <c r="E262" s="2" t="s">
        <v>642</v>
      </c>
      <c r="F262" s="2" t="s">
        <v>313</v>
      </c>
      <c r="G262" s="2" t="s">
        <v>17</v>
      </c>
      <c r="H262" s="2" t="s">
        <v>24</v>
      </c>
      <c r="I262" s="21">
        <v>1</v>
      </c>
      <c r="J262" s="1">
        <v>8033</v>
      </c>
      <c r="K262" s="3">
        <v>42914</v>
      </c>
      <c r="L262" s="4"/>
      <c r="M262" s="2" t="s">
        <v>314</v>
      </c>
      <c r="N262" s="2" t="s">
        <v>315</v>
      </c>
      <c r="O262" s="2" t="s">
        <v>316</v>
      </c>
      <c r="P262" s="4">
        <v>21000</v>
      </c>
      <c r="Q262" s="4">
        <v>0</v>
      </c>
      <c r="R262" s="4">
        <v>0</v>
      </c>
      <c r="S262"/>
    </row>
    <row r="263" spans="2:19" x14ac:dyDescent="0.25">
      <c r="B263">
        <v>1</v>
      </c>
      <c r="C263" s="2" t="s">
        <v>22</v>
      </c>
      <c r="D263" s="2" t="s">
        <v>643</v>
      </c>
      <c r="E263" s="2" t="s">
        <v>644</v>
      </c>
      <c r="F263" s="2" t="s">
        <v>313</v>
      </c>
      <c r="G263" s="2" t="s">
        <v>17</v>
      </c>
      <c r="H263" s="2" t="s">
        <v>24</v>
      </c>
      <c r="I263" s="21">
        <v>1</v>
      </c>
      <c r="J263" s="1">
        <v>8191</v>
      </c>
      <c r="K263" s="3">
        <v>42914</v>
      </c>
      <c r="L263" s="4"/>
      <c r="M263" s="2" t="s">
        <v>314</v>
      </c>
      <c r="N263" s="2" t="s">
        <v>315</v>
      </c>
      <c r="O263" s="2" t="s">
        <v>316</v>
      </c>
      <c r="P263" s="4">
        <v>21000</v>
      </c>
      <c r="Q263" s="4">
        <v>0</v>
      </c>
      <c r="R263" s="4">
        <v>0</v>
      </c>
      <c r="S263"/>
    </row>
    <row r="264" spans="2:19" x14ac:dyDescent="0.25">
      <c r="B264">
        <v>1</v>
      </c>
      <c r="C264" s="2" t="s">
        <v>22</v>
      </c>
      <c r="D264" s="2" t="s">
        <v>645</v>
      </c>
      <c r="E264" s="2" t="s">
        <v>646</v>
      </c>
      <c r="F264" s="2" t="s">
        <v>313</v>
      </c>
      <c r="G264" s="2" t="s">
        <v>17</v>
      </c>
      <c r="H264" s="2" t="s">
        <v>24</v>
      </c>
      <c r="I264" s="21">
        <v>1</v>
      </c>
      <c r="J264" s="1">
        <v>8267</v>
      </c>
      <c r="K264" s="3">
        <v>42914</v>
      </c>
      <c r="L264" s="4"/>
      <c r="M264" s="2" t="s">
        <v>314</v>
      </c>
      <c r="N264" s="2" t="s">
        <v>315</v>
      </c>
      <c r="O264" s="2" t="s">
        <v>316</v>
      </c>
      <c r="P264" s="4">
        <v>21000</v>
      </c>
      <c r="Q264" s="4">
        <v>0</v>
      </c>
      <c r="R264" s="4">
        <v>0</v>
      </c>
      <c r="S264"/>
    </row>
    <row r="265" spans="2:19" x14ac:dyDescent="0.25">
      <c r="B265">
        <v>1</v>
      </c>
      <c r="C265" s="2" t="s">
        <v>22</v>
      </c>
      <c r="D265" s="2" t="s">
        <v>647</v>
      </c>
      <c r="E265" s="2" t="s">
        <v>648</v>
      </c>
      <c r="F265" s="2" t="s">
        <v>313</v>
      </c>
      <c r="G265" s="2" t="s">
        <v>17</v>
      </c>
      <c r="H265" s="2" t="s">
        <v>24</v>
      </c>
      <c r="I265" s="21">
        <v>1</v>
      </c>
      <c r="J265" s="1">
        <v>8275</v>
      </c>
      <c r="K265" s="3">
        <v>42914</v>
      </c>
      <c r="L265" s="4"/>
      <c r="M265" s="2" t="s">
        <v>314</v>
      </c>
      <c r="N265" s="2" t="s">
        <v>315</v>
      </c>
      <c r="O265" s="2" t="s">
        <v>316</v>
      </c>
      <c r="P265" s="4">
        <v>21000</v>
      </c>
      <c r="Q265" s="4">
        <v>0</v>
      </c>
      <c r="R265" s="4">
        <v>0</v>
      </c>
      <c r="S265"/>
    </row>
    <row r="266" spans="2:19" x14ac:dyDescent="0.25">
      <c r="B266">
        <v>1</v>
      </c>
      <c r="C266" s="2" t="s">
        <v>22</v>
      </c>
      <c r="D266" s="2" t="s">
        <v>649</v>
      </c>
      <c r="E266" s="2" t="s">
        <v>650</v>
      </c>
      <c r="F266" s="2" t="s">
        <v>313</v>
      </c>
      <c r="G266" s="2" t="s">
        <v>17</v>
      </c>
      <c r="H266" s="2" t="s">
        <v>24</v>
      </c>
      <c r="I266" s="21">
        <v>1</v>
      </c>
      <c r="J266" s="1">
        <v>7380</v>
      </c>
      <c r="K266" s="3">
        <v>42914</v>
      </c>
      <c r="L266" s="4"/>
      <c r="M266" s="2" t="s">
        <v>314</v>
      </c>
      <c r="N266" s="2" t="s">
        <v>315</v>
      </c>
      <c r="O266" s="2" t="s">
        <v>316</v>
      </c>
      <c r="P266" s="4">
        <v>20000</v>
      </c>
      <c r="Q266" s="4">
        <v>0</v>
      </c>
      <c r="R266" s="4">
        <v>0</v>
      </c>
      <c r="S266"/>
    </row>
    <row r="267" spans="2:19" x14ac:dyDescent="0.25">
      <c r="B267">
        <v>1</v>
      </c>
      <c r="C267" s="2" t="s">
        <v>22</v>
      </c>
      <c r="D267" s="2" t="s">
        <v>651</v>
      </c>
      <c r="E267" s="2" t="s">
        <v>652</v>
      </c>
      <c r="F267" s="2" t="s">
        <v>313</v>
      </c>
      <c r="G267" s="2" t="s">
        <v>17</v>
      </c>
      <c r="H267" s="2" t="s">
        <v>24</v>
      </c>
      <c r="I267" s="21">
        <v>1</v>
      </c>
      <c r="J267" s="1">
        <v>6977</v>
      </c>
      <c r="K267" s="3">
        <v>42914</v>
      </c>
      <c r="L267" s="4"/>
      <c r="M267" s="2" t="s">
        <v>314</v>
      </c>
      <c r="N267" s="2" t="s">
        <v>315</v>
      </c>
      <c r="O267" s="2" t="s">
        <v>316</v>
      </c>
      <c r="P267" s="4">
        <v>20000</v>
      </c>
      <c r="Q267" s="4">
        <v>0</v>
      </c>
      <c r="R267" s="4">
        <v>0</v>
      </c>
      <c r="S267"/>
    </row>
    <row r="268" spans="2:19" x14ac:dyDescent="0.25">
      <c r="B268">
        <v>1</v>
      </c>
      <c r="C268" s="2" t="s">
        <v>22</v>
      </c>
      <c r="D268" s="2" t="s">
        <v>653</v>
      </c>
      <c r="E268" s="2" t="s">
        <v>654</v>
      </c>
      <c r="F268" s="2" t="s">
        <v>313</v>
      </c>
      <c r="G268" s="2" t="s">
        <v>17</v>
      </c>
      <c r="H268" s="2" t="s">
        <v>24</v>
      </c>
      <c r="I268" s="21">
        <v>1</v>
      </c>
      <c r="J268" s="1">
        <v>6557</v>
      </c>
      <c r="K268" s="3">
        <v>42914</v>
      </c>
      <c r="L268" s="4"/>
      <c r="M268" s="2" t="s">
        <v>314</v>
      </c>
      <c r="N268" s="2" t="s">
        <v>315</v>
      </c>
      <c r="O268" s="2" t="s">
        <v>316</v>
      </c>
      <c r="P268" s="4">
        <v>19000</v>
      </c>
      <c r="Q268" s="4">
        <v>0</v>
      </c>
      <c r="R268" s="4">
        <v>0</v>
      </c>
      <c r="S268"/>
    </row>
    <row r="269" spans="2:19" x14ac:dyDescent="0.25">
      <c r="B269">
        <v>1</v>
      </c>
      <c r="C269" s="2" t="s">
        <v>22</v>
      </c>
      <c r="D269" s="2" t="s">
        <v>655</v>
      </c>
      <c r="E269" s="2" t="s">
        <v>656</v>
      </c>
      <c r="F269" s="2" t="s">
        <v>313</v>
      </c>
      <c r="G269" s="2" t="s">
        <v>17</v>
      </c>
      <c r="H269" s="2" t="s">
        <v>24</v>
      </c>
      <c r="I269" s="21">
        <v>1</v>
      </c>
      <c r="J269" s="1">
        <v>6611</v>
      </c>
      <c r="K269" s="3">
        <v>42914</v>
      </c>
      <c r="L269" s="4"/>
      <c r="M269" s="2" t="s">
        <v>314</v>
      </c>
      <c r="N269" s="2" t="s">
        <v>315</v>
      </c>
      <c r="O269" s="2" t="s">
        <v>316</v>
      </c>
      <c r="P269" s="4">
        <v>19000</v>
      </c>
      <c r="Q269" s="4">
        <v>0</v>
      </c>
      <c r="R269" s="4">
        <v>0</v>
      </c>
      <c r="S269"/>
    </row>
    <row r="270" spans="2:19" x14ac:dyDescent="0.25">
      <c r="B270">
        <v>1</v>
      </c>
      <c r="C270" s="2" t="s">
        <v>22</v>
      </c>
      <c r="D270" s="2" t="s">
        <v>657</v>
      </c>
      <c r="E270" s="2" t="s">
        <v>658</v>
      </c>
      <c r="F270" s="2" t="s">
        <v>313</v>
      </c>
      <c r="G270" s="2" t="s">
        <v>17</v>
      </c>
      <c r="H270" s="2" t="s">
        <v>24</v>
      </c>
      <c r="I270" s="21">
        <v>1</v>
      </c>
      <c r="J270" s="1">
        <v>8737</v>
      </c>
      <c r="K270" s="3">
        <v>42914</v>
      </c>
      <c r="L270" s="4"/>
      <c r="M270" s="2" t="s">
        <v>314</v>
      </c>
      <c r="N270" s="2" t="s">
        <v>315</v>
      </c>
      <c r="O270" s="2" t="s">
        <v>29</v>
      </c>
      <c r="P270" s="4">
        <v>22000</v>
      </c>
      <c r="Q270" s="4">
        <v>0</v>
      </c>
      <c r="R270" s="4">
        <v>0</v>
      </c>
      <c r="S270"/>
    </row>
    <row r="271" spans="2:19" x14ac:dyDescent="0.25">
      <c r="B271">
        <v>1</v>
      </c>
      <c r="C271" s="2" t="s">
        <v>22</v>
      </c>
      <c r="D271" s="2" t="s">
        <v>659</v>
      </c>
      <c r="E271" s="2" t="s">
        <v>660</v>
      </c>
      <c r="F271" s="2" t="s">
        <v>313</v>
      </c>
      <c r="G271" s="2" t="s">
        <v>17</v>
      </c>
      <c r="H271" s="2" t="s">
        <v>24</v>
      </c>
      <c r="I271" s="21">
        <v>1</v>
      </c>
      <c r="J271" s="1">
        <v>7857</v>
      </c>
      <c r="K271" s="3">
        <v>42914</v>
      </c>
      <c r="L271" s="4"/>
      <c r="M271" s="2" t="s">
        <v>314</v>
      </c>
      <c r="N271" s="2" t="s">
        <v>315</v>
      </c>
      <c r="O271" s="2" t="s">
        <v>29</v>
      </c>
      <c r="P271" s="4">
        <v>21000</v>
      </c>
      <c r="Q271" s="4">
        <v>0</v>
      </c>
      <c r="R271" s="4">
        <v>0</v>
      </c>
      <c r="S271"/>
    </row>
    <row r="272" spans="2:19" x14ac:dyDescent="0.25">
      <c r="B272">
        <v>1</v>
      </c>
      <c r="C272" s="2" t="s">
        <v>22</v>
      </c>
      <c r="D272" s="2" t="s">
        <v>661</v>
      </c>
      <c r="E272" s="2" t="s">
        <v>662</v>
      </c>
      <c r="F272" s="2" t="s">
        <v>313</v>
      </c>
      <c r="G272" s="2" t="s">
        <v>17</v>
      </c>
      <c r="H272" s="2" t="s">
        <v>24</v>
      </c>
      <c r="I272" s="21">
        <v>1</v>
      </c>
      <c r="J272" s="1">
        <v>7689</v>
      </c>
      <c r="K272" s="3">
        <v>42914</v>
      </c>
      <c r="L272" s="4"/>
      <c r="M272" s="2" t="s">
        <v>314</v>
      </c>
      <c r="N272" s="2" t="s">
        <v>315</v>
      </c>
      <c r="O272" s="2" t="s">
        <v>29</v>
      </c>
      <c r="P272" s="4">
        <v>21000</v>
      </c>
      <c r="Q272" s="4">
        <v>0</v>
      </c>
      <c r="R272" s="4">
        <v>0</v>
      </c>
      <c r="S272"/>
    </row>
    <row r="273" spans="2:19" x14ac:dyDescent="0.25">
      <c r="B273">
        <v>1</v>
      </c>
      <c r="C273" s="2" t="s">
        <v>22</v>
      </c>
      <c r="D273" s="2" t="s">
        <v>661</v>
      </c>
      <c r="E273" s="2" t="s">
        <v>662</v>
      </c>
      <c r="F273" s="2" t="s">
        <v>313</v>
      </c>
      <c r="G273" s="2" t="s">
        <v>17</v>
      </c>
      <c r="H273" s="2" t="s">
        <v>24</v>
      </c>
      <c r="I273" s="21">
        <v>1</v>
      </c>
      <c r="J273" s="1">
        <v>7689</v>
      </c>
      <c r="K273" s="3">
        <v>42914</v>
      </c>
      <c r="L273" s="4"/>
      <c r="M273" s="2" t="s">
        <v>315</v>
      </c>
      <c r="N273" s="2" t="s">
        <v>29</v>
      </c>
      <c r="O273" s="2" t="s">
        <v>29</v>
      </c>
      <c r="P273" s="4">
        <v>21000</v>
      </c>
      <c r="Q273" s="4">
        <v>0</v>
      </c>
      <c r="R273" s="4">
        <v>0</v>
      </c>
      <c r="S273"/>
    </row>
    <row r="274" spans="2:19" x14ac:dyDescent="0.25">
      <c r="B274">
        <v>1</v>
      </c>
      <c r="C274" s="2" t="s">
        <v>22</v>
      </c>
      <c r="D274" s="2" t="s">
        <v>663</v>
      </c>
      <c r="E274" s="2" t="s">
        <v>664</v>
      </c>
      <c r="F274" s="2" t="s">
        <v>313</v>
      </c>
      <c r="G274" s="2" t="s">
        <v>17</v>
      </c>
      <c r="H274" s="2" t="s">
        <v>24</v>
      </c>
      <c r="I274" s="21">
        <v>1</v>
      </c>
      <c r="J274" s="1">
        <v>7889</v>
      </c>
      <c r="K274" s="3">
        <v>42914</v>
      </c>
      <c r="L274" s="4"/>
      <c r="M274" s="2" t="s">
        <v>314</v>
      </c>
      <c r="N274" s="2" t="s">
        <v>315</v>
      </c>
      <c r="O274" s="2" t="s">
        <v>29</v>
      </c>
      <c r="P274" s="4">
        <v>21000</v>
      </c>
      <c r="Q274" s="4">
        <v>0</v>
      </c>
      <c r="R274" s="4">
        <v>0</v>
      </c>
      <c r="S274"/>
    </row>
    <row r="275" spans="2:19" x14ac:dyDescent="0.25">
      <c r="B275">
        <v>1</v>
      </c>
      <c r="C275" s="2" t="s">
        <v>22</v>
      </c>
      <c r="D275" s="2" t="s">
        <v>665</v>
      </c>
      <c r="E275" s="2" t="s">
        <v>666</v>
      </c>
      <c r="F275" s="2" t="s">
        <v>313</v>
      </c>
      <c r="G275" s="2" t="s">
        <v>17</v>
      </c>
      <c r="H275" s="2" t="s">
        <v>24</v>
      </c>
      <c r="I275" s="21">
        <v>1</v>
      </c>
      <c r="J275" s="1">
        <v>7003</v>
      </c>
      <c r="K275" s="3">
        <v>42914</v>
      </c>
      <c r="L275" s="4"/>
      <c r="M275" s="2" t="s">
        <v>314</v>
      </c>
      <c r="N275" s="2" t="s">
        <v>315</v>
      </c>
      <c r="O275" s="2" t="s">
        <v>29</v>
      </c>
      <c r="P275" s="4">
        <v>20000</v>
      </c>
      <c r="Q275" s="4">
        <v>0</v>
      </c>
      <c r="R275" s="4">
        <v>0</v>
      </c>
      <c r="S275"/>
    </row>
    <row r="276" spans="2:19" x14ac:dyDescent="0.25">
      <c r="B276">
        <v>1</v>
      </c>
      <c r="C276" s="2" t="s">
        <v>22</v>
      </c>
      <c r="D276" s="2" t="s">
        <v>667</v>
      </c>
      <c r="E276" s="2" t="s">
        <v>668</v>
      </c>
      <c r="F276" s="2" t="s">
        <v>313</v>
      </c>
      <c r="G276" s="2" t="s">
        <v>17</v>
      </c>
      <c r="H276" s="2" t="s">
        <v>24</v>
      </c>
      <c r="I276" s="21">
        <v>1</v>
      </c>
      <c r="J276" s="1">
        <v>6878</v>
      </c>
      <c r="K276" s="3">
        <v>42914</v>
      </c>
      <c r="L276" s="4"/>
      <c r="M276" s="2" t="s">
        <v>314</v>
      </c>
      <c r="N276" s="2" t="s">
        <v>315</v>
      </c>
      <c r="O276" s="2" t="s">
        <v>29</v>
      </c>
      <c r="P276" s="4">
        <v>19000</v>
      </c>
      <c r="Q276" s="4">
        <v>0</v>
      </c>
      <c r="R276" s="4">
        <v>0</v>
      </c>
      <c r="S276"/>
    </row>
    <row r="277" spans="2:19" x14ac:dyDescent="0.25">
      <c r="B277">
        <v>1</v>
      </c>
      <c r="C277" s="2" t="s">
        <v>22</v>
      </c>
      <c r="D277" s="2" t="s">
        <v>669</v>
      </c>
      <c r="E277" s="2" t="s">
        <v>670</v>
      </c>
      <c r="F277" s="2" t="s">
        <v>313</v>
      </c>
      <c r="G277" s="2" t="s">
        <v>17</v>
      </c>
      <c r="H277" s="2" t="s">
        <v>24</v>
      </c>
      <c r="I277" s="21">
        <v>1</v>
      </c>
      <c r="J277" s="1">
        <v>6555</v>
      </c>
      <c r="K277" s="3">
        <v>42914</v>
      </c>
      <c r="L277" s="4"/>
      <c r="M277" s="2" t="s">
        <v>314</v>
      </c>
      <c r="N277" s="2" t="s">
        <v>315</v>
      </c>
      <c r="O277" s="2" t="s">
        <v>29</v>
      </c>
      <c r="P277" s="4">
        <v>19000</v>
      </c>
      <c r="Q277" s="4">
        <v>0</v>
      </c>
      <c r="R277" s="4">
        <v>0</v>
      </c>
      <c r="S277"/>
    </row>
    <row r="278" spans="2:19" x14ac:dyDescent="0.25">
      <c r="B278">
        <v>1</v>
      </c>
      <c r="C278" s="2" t="s">
        <v>22</v>
      </c>
      <c r="D278" s="2" t="s">
        <v>671</v>
      </c>
      <c r="E278" s="2" t="s">
        <v>672</v>
      </c>
      <c r="F278" s="2" t="s">
        <v>313</v>
      </c>
      <c r="G278" s="2" t="s">
        <v>17</v>
      </c>
      <c r="H278" s="2" t="s">
        <v>24</v>
      </c>
      <c r="I278" s="21">
        <v>1</v>
      </c>
      <c r="J278" s="1">
        <v>6530</v>
      </c>
      <c r="K278" s="3">
        <v>42914</v>
      </c>
      <c r="L278" s="4"/>
      <c r="M278" s="2" t="s">
        <v>314</v>
      </c>
      <c r="N278" s="2" t="s">
        <v>315</v>
      </c>
      <c r="O278" s="2" t="s">
        <v>29</v>
      </c>
      <c r="P278" s="4">
        <v>19000</v>
      </c>
      <c r="Q278" s="4">
        <v>0</v>
      </c>
      <c r="R278" s="4">
        <v>0</v>
      </c>
      <c r="S278"/>
    </row>
    <row r="279" spans="2:19" x14ac:dyDescent="0.25">
      <c r="B279">
        <v>1</v>
      </c>
      <c r="C279" s="2" t="s">
        <v>22</v>
      </c>
      <c r="D279" s="2" t="s">
        <v>673</v>
      </c>
      <c r="E279" s="2" t="s">
        <v>674</v>
      </c>
      <c r="F279" s="2" t="s">
        <v>313</v>
      </c>
      <c r="G279" s="2" t="s">
        <v>17</v>
      </c>
      <c r="H279" s="2" t="s">
        <v>24</v>
      </c>
      <c r="I279" s="21">
        <v>1</v>
      </c>
      <c r="J279" s="1">
        <v>6457</v>
      </c>
      <c r="K279" s="3">
        <v>42914</v>
      </c>
      <c r="L279" s="4"/>
      <c r="M279" s="2" t="s">
        <v>314</v>
      </c>
      <c r="N279" s="2" t="s">
        <v>315</v>
      </c>
      <c r="O279" s="2" t="s">
        <v>29</v>
      </c>
      <c r="P279" s="4">
        <v>19000</v>
      </c>
      <c r="Q279" s="4">
        <v>0</v>
      </c>
      <c r="R279" s="4">
        <v>0</v>
      </c>
      <c r="S279"/>
    </row>
    <row r="280" spans="2:19" x14ac:dyDescent="0.25">
      <c r="B280">
        <v>1</v>
      </c>
      <c r="C280" s="2" t="s">
        <v>22</v>
      </c>
      <c r="D280" s="2" t="s">
        <v>675</v>
      </c>
      <c r="E280" s="2" t="s">
        <v>676</v>
      </c>
      <c r="F280" s="2" t="s">
        <v>313</v>
      </c>
      <c r="G280" s="2" t="s">
        <v>17</v>
      </c>
      <c r="H280" s="2" t="s">
        <v>24</v>
      </c>
      <c r="I280" s="21">
        <v>1</v>
      </c>
      <c r="J280" s="1">
        <v>6608</v>
      </c>
      <c r="K280" s="3">
        <v>42914</v>
      </c>
      <c r="L280" s="4"/>
      <c r="M280" s="2" t="s">
        <v>314</v>
      </c>
      <c r="N280" s="2" t="s">
        <v>315</v>
      </c>
      <c r="O280" s="2" t="s">
        <v>29</v>
      </c>
      <c r="P280" s="4">
        <v>19000</v>
      </c>
      <c r="Q280" s="4">
        <v>0</v>
      </c>
      <c r="R280" s="4">
        <v>0</v>
      </c>
      <c r="S280"/>
    </row>
    <row r="281" spans="2:19" x14ac:dyDescent="0.25">
      <c r="B281">
        <v>1</v>
      </c>
      <c r="C281" s="2" t="s">
        <v>22</v>
      </c>
      <c r="D281" s="2" t="s">
        <v>677</v>
      </c>
      <c r="E281" s="2" t="s">
        <v>678</v>
      </c>
      <c r="F281" s="2" t="s">
        <v>313</v>
      </c>
      <c r="G281" s="2" t="s">
        <v>17</v>
      </c>
      <c r="H281" s="2" t="s">
        <v>24</v>
      </c>
      <c r="I281" s="21">
        <v>1</v>
      </c>
      <c r="J281" s="1">
        <v>8167</v>
      </c>
      <c r="K281" s="3">
        <v>42914</v>
      </c>
      <c r="L281" s="4"/>
      <c r="M281" s="2" t="s">
        <v>314</v>
      </c>
      <c r="N281" s="2" t="s">
        <v>315</v>
      </c>
      <c r="O281" s="2" t="s">
        <v>29</v>
      </c>
      <c r="P281" s="4">
        <v>21000</v>
      </c>
      <c r="Q281" s="4">
        <v>0</v>
      </c>
      <c r="R281" s="4">
        <v>0</v>
      </c>
      <c r="S281"/>
    </row>
    <row r="282" spans="2:19" x14ac:dyDescent="0.25">
      <c r="B282">
        <v>1</v>
      </c>
      <c r="C282" s="2" t="s">
        <v>22</v>
      </c>
      <c r="D282" s="2" t="s">
        <v>679</v>
      </c>
      <c r="E282" s="2" t="s">
        <v>680</v>
      </c>
      <c r="F282" s="2" t="s">
        <v>313</v>
      </c>
      <c r="G282" s="2" t="s">
        <v>17</v>
      </c>
      <c r="H282" s="2" t="s">
        <v>24</v>
      </c>
      <c r="I282" s="21">
        <v>1</v>
      </c>
      <c r="J282" s="1">
        <v>8426</v>
      </c>
      <c r="K282" s="3">
        <v>42914</v>
      </c>
      <c r="L282" s="4"/>
      <c r="M282" s="2" t="s">
        <v>314</v>
      </c>
      <c r="N282" s="2" t="s">
        <v>315</v>
      </c>
      <c r="O282" s="2" t="s">
        <v>29</v>
      </c>
      <c r="P282" s="4">
        <v>22000</v>
      </c>
      <c r="Q282" s="4">
        <v>0</v>
      </c>
      <c r="R282" s="4">
        <v>0</v>
      </c>
      <c r="S282"/>
    </row>
    <row r="283" spans="2:19" x14ac:dyDescent="0.25">
      <c r="B283">
        <v>1</v>
      </c>
      <c r="C283" s="2" t="s">
        <v>22</v>
      </c>
      <c r="D283" s="2" t="s">
        <v>681</v>
      </c>
      <c r="E283" s="2" t="s">
        <v>682</v>
      </c>
      <c r="F283" s="2" t="s">
        <v>313</v>
      </c>
      <c r="G283" s="2" t="s">
        <v>17</v>
      </c>
      <c r="H283" s="2" t="s">
        <v>24</v>
      </c>
      <c r="I283" s="21">
        <v>1</v>
      </c>
      <c r="J283" s="1">
        <v>7861</v>
      </c>
      <c r="K283" s="3">
        <v>42914</v>
      </c>
      <c r="L283" s="4"/>
      <c r="M283" s="2" t="s">
        <v>315</v>
      </c>
      <c r="N283" s="2" t="s">
        <v>29</v>
      </c>
      <c r="O283" s="2" t="s">
        <v>29</v>
      </c>
      <c r="P283" s="4">
        <v>21000</v>
      </c>
      <c r="Q283" s="4">
        <v>0</v>
      </c>
      <c r="R283" s="4">
        <v>0</v>
      </c>
      <c r="S283"/>
    </row>
    <row r="284" spans="2:19" x14ac:dyDescent="0.25">
      <c r="B284">
        <v>1</v>
      </c>
      <c r="C284" s="2" t="s">
        <v>22</v>
      </c>
      <c r="D284" s="2" t="s">
        <v>683</v>
      </c>
      <c r="E284" s="2" t="s">
        <v>684</v>
      </c>
      <c r="F284" s="2" t="s">
        <v>313</v>
      </c>
      <c r="G284" s="2" t="s">
        <v>17</v>
      </c>
      <c r="H284" s="2" t="s">
        <v>24</v>
      </c>
      <c r="I284" s="21">
        <v>1</v>
      </c>
      <c r="J284" s="1">
        <v>7621</v>
      </c>
      <c r="K284" s="3">
        <v>42914</v>
      </c>
      <c r="L284" s="4"/>
      <c r="M284" s="2" t="s">
        <v>314</v>
      </c>
      <c r="N284" s="2" t="s">
        <v>315</v>
      </c>
      <c r="O284" s="2" t="s">
        <v>29</v>
      </c>
      <c r="P284" s="4">
        <v>20000</v>
      </c>
      <c r="Q284" s="4">
        <v>0</v>
      </c>
      <c r="R284" s="4">
        <v>0</v>
      </c>
      <c r="S284"/>
    </row>
    <row r="285" spans="2:19" x14ac:dyDescent="0.25">
      <c r="B285">
        <v>1</v>
      </c>
      <c r="C285" s="2" t="s">
        <v>22</v>
      </c>
      <c r="D285" s="2" t="s">
        <v>685</v>
      </c>
      <c r="E285" s="2" t="s">
        <v>686</v>
      </c>
      <c r="F285" s="2" t="s">
        <v>313</v>
      </c>
      <c r="G285" s="2" t="s">
        <v>17</v>
      </c>
      <c r="H285" s="2" t="s">
        <v>24</v>
      </c>
      <c r="I285" s="21">
        <v>1</v>
      </c>
      <c r="J285" s="1">
        <v>7521</v>
      </c>
      <c r="K285" s="3">
        <v>42914</v>
      </c>
      <c r="L285" s="4"/>
      <c r="M285" s="2" t="s">
        <v>314</v>
      </c>
      <c r="N285" s="2" t="s">
        <v>315</v>
      </c>
      <c r="O285" s="2" t="s">
        <v>29</v>
      </c>
      <c r="P285" s="4">
        <v>20000</v>
      </c>
      <c r="Q285" s="4">
        <v>0</v>
      </c>
      <c r="R285" s="4">
        <v>0</v>
      </c>
      <c r="S285"/>
    </row>
    <row r="286" spans="2:19" x14ac:dyDescent="0.25">
      <c r="B286">
        <v>1</v>
      </c>
      <c r="C286" s="2" t="s">
        <v>22</v>
      </c>
      <c r="D286" s="2" t="s">
        <v>687</v>
      </c>
      <c r="E286" s="2" t="s">
        <v>688</v>
      </c>
      <c r="F286" s="2" t="s">
        <v>313</v>
      </c>
      <c r="G286" s="2" t="s">
        <v>17</v>
      </c>
      <c r="H286" s="2" t="s">
        <v>24</v>
      </c>
      <c r="I286" s="21">
        <v>1</v>
      </c>
      <c r="J286" s="1">
        <v>6527</v>
      </c>
      <c r="K286" s="3">
        <v>42914</v>
      </c>
      <c r="L286" s="4"/>
      <c r="M286" s="2" t="s">
        <v>314</v>
      </c>
      <c r="N286" s="2" t="s">
        <v>315</v>
      </c>
      <c r="O286" s="2" t="s">
        <v>29</v>
      </c>
      <c r="P286" s="4">
        <v>19000</v>
      </c>
      <c r="Q286" s="4">
        <v>0</v>
      </c>
      <c r="R286" s="4">
        <v>0</v>
      </c>
      <c r="S286"/>
    </row>
    <row r="287" spans="2:19" x14ac:dyDescent="0.25">
      <c r="B287">
        <v>1</v>
      </c>
      <c r="C287" s="2" t="s">
        <v>22</v>
      </c>
      <c r="D287" s="2" t="s">
        <v>689</v>
      </c>
      <c r="E287" s="2" t="s">
        <v>690</v>
      </c>
      <c r="F287" s="2" t="s">
        <v>268</v>
      </c>
      <c r="G287" s="2" t="s">
        <v>14</v>
      </c>
      <c r="H287" s="2" t="s">
        <v>15</v>
      </c>
      <c r="I287" s="21">
        <v>1</v>
      </c>
      <c r="J287" s="1">
        <v>5500</v>
      </c>
      <c r="K287" s="3">
        <v>42915</v>
      </c>
      <c r="L287" s="4">
        <v>533900</v>
      </c>
      <c r="M287" s="2" t="s">
        <v>691</v>
      </c>
      <c r="N287" s="2" t="s">
        <v>692</v>
      </c>
      <c r="O287" s="2" t="s">
        <v>692</v>
      </c>
      <c r="P287" s="4">
        <v>32000</v>
      </c>
      <c r="Q287" s="4">
        <v>0</v>
      </c>
      <c r="R287" s="4">
        <v>0</v>
      </c>
      <c r="S287"/>
    </row>
    <row r="288" spans="2:19" x14ac:dyDescent="0.25">
      <c r="B288">
        <v>1</v>
      </c>
      <c r="C288" s="2" t="s">
        <v>22</v>
      </c>
      <c r="D288" s="2" t="s">
        <v>693</v>
      </c>
      <c r="E288" s="2" t="s">
        <v>694</v>
      </c>
      <c r="F288" s="2" t="s">
        <v>298</v>
      </c>
      <c r="G288" s="2" t="s">
        <v>17</v>
      </c>
      <c r="H288" s="2" t="s">
        <v>18</v>
      </c>
      <c r="I288" s="21">
        <v>1</v>
      </c>
      <c r="J288" s="1">
        <v>9410</v>
      </c>
      <c r="K288" s="3">
        <v>42921</v>
      </c>
      <c r="L288" s="4">
        <v>145800</v>
      </c>
      <c r="M288" s="2" t="s">
        <v>695</v>
      </c>
      <c r="N288" s="2" t="s">
        <v>696</v>
      </c>
      <c r="O288" s="2" t="s">
        <v>696</v>
      </c>
      <c r="P288" s="4">
        <v>107000</v>
      </c>
      <c r="Q288" s="4">
        <v>0</v>
      </c>
      <c r="R288" s="4">
        <v>0</v>
      </c>
      <c r="S288"/>
    </row>
    <row r="289" spans="2:19" x14ac:dyDescent="0.25">
      <c r="B289">
        <v>1</v>
      </c>
      <c r="C289" s="2" t="s">
        <v>22</v>
      </c>
      <c r="D289" s="2" t="s">
        <v>697</v>
      </c>
      <c r="E289" s="2" t="s">
        <v>698</v>
      </c>
      <c r="F289" s="2" t="s">
        <v>191</v>
      </c>
      <c r="G289" s="2" t="s">
        <v>14</v>
      </c>
      <c r="H289" s="2" t="s">
        <v>15</v>
      </c>
      <c r="I289" s="21">
        <v>1</v>
      </c>
      <c r="J289" s="1">
        <v>5270</v>
      </c>
      <c r="K289" s="3">
        <v>42922</v>
      </c>
      <c r="L289" s="4">
        <v>240000</v>
      </c>
      <c r="M289" s="2" t="s">
        <v>151</v>
      </c>
      <c r="N289" s="2" t="s">
        <v>152</v>
      </c>
      <c r="O289" s="2" t="s">
        <v>699</v>
      </c>
      <c r="P289" s="4">
        <v>56000</v>
      </c>
      <c r="Q289" s="4">
        <v>0</v>
      </c>
      <c r="R289" s="4">
        <v>0</v>
      </c>
      <c r="S289"/>
    </row>
    <row r="290" spans="2:19" x14ac:dyDescent="0.25">
      <c r="B290">
        <v>1</v>
      </c>
      <c r="C290" s="2" t="s">
        <v>22</v>
      </c>
      <c r="D290" s="2" t="s">
        <v>700</v>
      </c>
      <c r="E290" s="2" t="s">
        <v>701</v>
      </c>
      <c r="F290" s="2" t="s">
        <v>150</v>
      </c>
      <c r="G290" s="2" t="s">
        <v>14</v>
      </c>
      <c r="H290" s="2" t="s">
        <v>15</v>
      </c>
      <c r="I290" s="21">
        <v>1</v>
      </c>
      <c r="J290" s="1">
        <v>9563</v>
      </c>
      <c r="K290" s="3">
        <v>42922</v>
      </c>
      <c r="L290" s="4">
        <v>240000</v>
      </c>
      <c r="M290" s="2" t="s">
        <v>151</v>
      </c>
      <c r="N290" s="2" t="s">
        <v>152</v>
      </c>
      <c r="O290" s="2" t="s">
        <v>702</v>
      </c>
      <c r="P290" s="4">
        <v>64000</v>
      </c>
      <c r="Q290" s="4">
        <v>0</v>
      </c>
      <c r="R290" s="4">
        <v>0</v>
      </c>
      <c r="S290"/>
    </row>
    <row r="291" spans="2:19" x14ac:dyDescent="0.25">
      <c r="B291">
        <v>1</v>
      </c>
      <c r="C291" s="2" t="s">
        <v>22</v>
      </c>
      <c r="D291" s="2" t="s">
        <v>703</v>
      </c>
      <c r="E291" s="2" t="s">
        <v>704</v>
      </c>
      <c r="F291" s="2" t="s">
        <v>150</v>
      </c>
      <c r="G291" s="2" t="s">
        <v>14</v>
      </c>
      <c r="H291" s="2" t="s">
        <v>15</v>
      </c>
      <c r="I291" s="21">
        <v>1</v>
      </c>
      <c r="J291" s="1">
        <v>5057</v>
      </c>
      <c r="K291" s="3">
        <v>42922</v>
      </c>
      <c r="L291" s="4">
        <v>240000</v>
      </c>
      <c r="M291" s="2" t="s">
        <v>151</v>
      </c>
      <c r="N291" s="2" t="s">
        <v>152</v>
      </c>
      <c r="O291" s="2" t="s">
        <v>705</v>
      </c>
      <c r="P291" s="4">
        <v>45000</v>
      </c>
      <c r="Q291" s="4">
        <v>0</v>
      </c>
      <c r="R291" s="4">
        <v>0</v>
      </c>
      <c r="S291"/>
    </row>
    <row r="292" spans="2:19" x14ac:dyDescent="0.25">
      <c r="B292">
        <v>1</v>
      </c>
      <c r="C292" s="2" t="s">
        <v>22</v>
      </c>
      <c r="D292" s="2" t="s">
        <v>706</v>
      </c>
      <c r="E292" s="2" t="s">
        <v>707</v>
      </c>
      <c r="F292" s="2" t="s">
        <v>268</v>
      </c>
      <c r="G292" s="2" t="s">
        <v>14</v>
      </c>
      <c r="H292" s="2" t="s">
        <v>15</v>
      </c>
      <c r="I292" s="21">
        <v>1</v>
      </c>
      <c r="J292" s="1">
        <v>7444</v>
      </c>
      <c r="K292" s="3">
        <v>42937</v>
      </c>
      <c r="L292" s="4">
        <v>685800</v>
      </c>
      <c r="M292" s="2" t="s">
        <v>269</v>
      </c>
      <c r="N292" s="2" t="s">
        <v>708</v>
      </c>
      <c r="O292" s="2" t="s">
        <v>708</v>
      </c>
      <c r="P292" s="4">
        <v>37000</v>
      </c>
      <c r="Q292" s="4">
        <v>0</v>
      </c>
      <c r="R292" s="4">
        <v>0</v>
      </c>
      <c r="S292"/>
    </row>
    <row r="293" spans="2:19" x14ac:dyDescent="0.25">
      <c r="B293">
        <v>1</v>
      </c>
      <c r="C293" s="2" t="s">
        <v>22</v>
      </c>
      <c r="D293" s="2" t="s">
        <v>182</v>
      </c>
      <c r="E293" s="2" t="s">
        <v>183</v>
      </c>
      <c r="F293" s="2" t="s">
        <v>150</v>
      </c>
      <c r="G293" s="2" t="s">
        <v>14</v>
      </c>
      <c r="H293" s="2" t="s">
        <v>15</v>
      </c>
      <c r="I293" s="21">
        <v>1</v>
      </c>
      <c r="J293" s="1">
        <v>5676</v>
      </c>
      <c r="K293" s="3">
        <v>42941</v>
      </c>
      <c r="L293" s="4">
        <v>464968</v>
      </c>
      <c r="M293" s="2" t="s">
        <v>152</v>
      </c>
      <c r="N293" s="2" t="s">
        <v>184</v>
      </c>
      <c r="O293" s="2" t="s">
        <v>184</v>
      </c>
      <c r="P293" s="4">
        <v>49000</v>
      </c>
      <c r="Q293" s="4">
        <v>0</v>
      </c>
      <c r="R293" s="4">
        <v>0</v>
      </c>
      <c r="S293"/>
    </row>
    <row r="294" spans="2:19" x14ac:dyDescent="0.25">
      <c r="B294">
        <v>1</v>
      </c>
      <c r="C294" s="2" t="s">
        <v>22</v>
      </c>
      <c r="D294" s="2" t="s">
        <v>709</v>
      </c>
      <c r="E294" s="2" t="s">
        <v>710</v>
      </c>
      <c r="F294" s="2" t="s">
        <v>106</v>
      </c>
      <c r="G294" s="2" t="s">
        <v>14</v>
      </c>
      <c r="H294" s="2" t="s">
        <v>15</v>
      </c>
      <c r="I294" s="21">
        <v>1</v>
      </c>
      <c r="J294" s="1">
        <v>4520</v>
      </c>
      <c r="K294" s="3">
        <v>42943</v>
      </c>
      <c r="L294" s="4">
        <v>913100</v>
      </c>
      <c r="M294" s="2" t="s">
        <v>174</v>
      </c>
      <c r="N294" s="2" t="s">
        <v>711</v>
      </c>
      <c r="O294" s="2" t="s">
        <v>711</v>
      </c>
      <c r="P294" s="4">
        <v>95000</v>
      </c>
      <c r="Q294" s="4">
        <v>0</v>
      </c>
      <c r="R294" s="4">
        <v>0</v>
      </c>
      <c r="S294"/>
    </row>
    <row r="295" spans="2:19" x14ac:dyDescent="0.25">
      <c r="B295">
        <v>1</v>
      </c>
      <c r="C295" s="2" t="s">
        <v>22</v>
      </c>
      <c r="D295" s="2" t="s">
        <v>723</v>
      </c>
      <c r="E295" s="2" t="s">
        <v>724</v>
      </c>
      <c r="F295" s="2" t="s">
        <v>725</v>
      </c>
      <c r="G295" s="2" t="s">
        <v>17</v>
      </c>
      <c r="H295" s="2" t="s">
        <v>18</v>
      </c>
      <c r="I295" s="21">
        <v>1</v>
      </c>
      <c r="J295" s="1">
        <v>13699</v>
      </c>
      <c r="K295" s="3">
        <v>42944</v>
      </c>
      <c r="L295" s="4">
        <v>155000</v>
      </c>
      <c r="M295" s="2" t="s">
        <v>726</v>
      </c>
      <c r="N295" s="2" t="s">
        <v>727</v>
      </c>
      <c r="O295" s="2" t="s">
        <v>727</v>
      </c>
      <c r="P295" s="4">
        <v>122000</v>
      </c>
      <c r="Q295" s="4">
        <v>0</v>
      </c>
      <c r="R295" s="4">
        <v>0</v>
      </c>
      <c r="S295"/>
    </row>
    <row r="296" spans="2:19" x14ac:dyDescent="0.25">
      <c r="B296">
        <v>1</v>
      </c>
      <c r="C296" s="2" t="s">
        <v>22</v>
      </c>
      <c r="D296" s="2" t="s">
        <v>728</v>
      </c>
      <c r="E296" s="2" t="s">
        <v>729</v>
      </c>
      <c r="F296" s="2" t="s">
        <v>313</v>
      </c>
      <c r="G296" s="2" t="s">
        <v>17</v>
      </c>
      <c r="H296" s="2" t="s">
        <v>24</v>
      </c>
      <c r="I296" s="21">
        <v>1</v>
      </c>
      <c r="J296" s="1">
        <v>6419</v>
      </c>
      <c r="K296" s="3">
        <v>42944</v>
      </c>
      <c r="L296" s="4">
        <v>2587200</v>
      </c>
      <c r="M296" s="2" t="s">
        <v>730</v>
      </c>
      <c r="N296" s="2" t="s">
        <v>316</v>
      </c>
      <c r="O296" s="2" t="s">
        <v>316</v>
      </c>
      <c r="P296" s="4">
        <v>19000</v>
      </c>
      <c r="Q296" s="4">
        <v>0</v>
      </c>
      <c r="R296" s="4">
        <v>0</v>
      </c>
      <c r="S296"/>
    </row>
    <row r="297" spans="2:19" x14ac:dyDescent="0.25">
      <c r="B297">
        <v>1</v>
      </c>
      <c r="C297" s="2" t="s">
        <v>22</v>
      </c>
      <c r="D297" s="2" t="s">
        <v>731</v>
      </c>
      <c r="E297" s="2" t="s">
        <v>732</v>
      </c>
      <c r="F297" s="2" t="s">
        <v>313</v>
      </c>
      <c r="G297" s="2" t="s">
        <v>17</v>
      </c>
      <c r="H297" s="2" t="s">
        <v>24</v>
      </c>
      <c r="I297" s="21">
        <v>1</v>
      </c>
      <c r="J297" s="1">
        <v>4893</v>
      </c>
      <c r="K297" s="3">
        <v>42944</v>
      </c>
      <c r="L297" s="4">
        <v>1845400</v>
      </c>
      <c r="M297" s="2" t="s">
        <v>316</v>
      </c>
      <c r="N297" s="2" t="s">
        <v>29</v>
      </c>
      <c r="O297" s="2" t="s">
        <v>29</v>
      </c>
      <c r="P297" s="4">
        <v>16000</v>
      </c>
      <c r="Q297" s="4">
        <v>0</v>
      </c>
      <c r="R297" s="4">
        <v>0</v>
      </c>
      <c r="S297"/>
    </row>
    <row r="298" spans="2:19" x14ac:dyDescent="0.25">
      <c r="B298">
        <v>1</v>
      </c>
      <c r="C298" s="2" t="s">
        <v>22</v>
      </c>
      <c r="D298" s="2" t="s">
        <v>733</v>
      </c>
      <c r="E298" s="2" t="s">
        <v>734</v>
      </c>
      <c r="F298" s="2" t="s">
        <v>313</v>
      </c>
      <c r="G298" s="2" t="s">
        <v>17</v>
      </c>
      <c r="H298" s="2" t="s">
        <v>24</v>
      </c>
      <c r="I298" s="21">
        <v>1</v>
      </c>
      <c r="J298" s="1">
        <v>4893</v>
      </c>
      <c r="K298" s="3">
        <v>42944</v>
      </c>
      <c r="L298" s="4"/>
      <c r="M298" s="2" t="s">
        <v>316</v>
      </c>
      <c r="N298" s="2" t="s">
        <v>29</v>
      </c>
      <c r="O298" s="2" t="s">
        <v>29</v>
      </c>
      <c r="P298" s="4">
        <v>16000</v>
      </c>
      <c r="Q298" s="4">
        <v>0</v>
      </c>
      <c r="R298" s="4">
        <v>0</v>
      </c>
      <c r="S298"/>
    </row>
    <row r="299" spans="2:19" x14ac:dyDescent="0.25">
      <c r="B299">
        <v>1</v>
      </c>
      <c r="C299" s="2" t="s">
        <v>22</v>
      </c>
      <c r="D299" s="2" t="s">
        <v>735</v>
      </c>
      <c r="E299" s="2" t="s">
        <v>736</v>
      </c>
      <c r="F299" s="2" t="s">
        <v>313</v>
      </c>
      <c r="G299" s="2" t="s">
        <v>17</v>
      </c>
      <c r="H299" s="2" t="s">
        <v>24</v>
      </c>
      <c r="I299" s="21">
        <v>1</v>
      </c>
      <c r="J299" s="1">
        <v>4872</v>
      </c>
      <c r="K299" s="3">
        <v>42944</v>
      </c>
      <c r="L299" s="4"/>
      <c r="M299" s="2" t="s">
        <v>730</v>
      </c>
      <c r="N299" s="2" t="s">
        <v>316</v>
      </c>
      <c r="O299" s="2" t="s">
        <v>29</v>
      </c>
      <c r="P299" s="4">
        <v>16000</v>
      </c>
      <c r="Q299" s="4">
        <v>0</v>
      </c>
      <c r="R299" s="4">
        <v>0</v>
      </c>
      <c r="S299"/>
    </row>
    <row r="300" spans="2:19" x14ac:dyDescent="0.25">
      <c r="B300">
        <v>1</v>
      </c>
      <c r="C300" s="2" t="s">
        <v>22</v>
      </c>
      <c r="D300" s="2" t="s">
        <v>737</v>
      </c>
      <c r="E300" s="2" t="s">
        <v>738</v>
      </c>
      <c r="F300" s="2" t="s">
        <v>313</v>
      </c>
      <c r="G300" s="2" t="s">
        <v>17</v>
      </c>
      <c r="H300" s="2" t="s">
        <v>24</v>
      </c>
      <c r="I300" s="21">
        <v>1</v>
      </c>
      <c r="J300" s="1">
        <v>4850</v>
      </c>
      <c r="K300" s="3">
        <v>42944</v>
      </c>
      <c r="L300" s="4"/>
      <c r="M300" s="2" t="s">
        <v>730</v>
      </c>
      <c r="N300" s="2" t="s">
        <v>316</v>
      </c>
      <c r="O300" s="2" t="s">
        <v>29</v>
      </c>
      <c r="P300" s="4">
        <v>16000</v>
      </c>
      <c r="Q300" s="4">
        <v>0</v>
      </c>
      <c r="R300" s="4">
        <v>0</v>
      </c>
      <c r="S300"/>
    </row>
    <row r="301" spans="2:19" x14ac:dyDescent="0.25">
      <c r="B301">
        <v>1</v>
      </c>
      <c r="C301" s="2" t="s">
        <v>22</v>
      </c>
      <c r="D301" s="2" t="s">
        <v>739</v>
      </c>
      <c r="E301" s="2" t="s">
        <v>740</v>
      </c>
      <c r="F301" s="2" t="s">
        <v>313</v>
      </c>
      <c r="G301" s="2" t="s">
        <v>17</v>
      </c>
      <c r="H301" s="2" t="s">
        <v>24</v>
      </c>
      <c r="I301" s="21">
        <v>1</v>
      </c>
      <c r="J301" s="1">
        <v>4970</v>
      </c>
      <c r="K301" s="3">
        <v>42944</v>
      </c>
      <c r="L301" s="4"/>
      <c r="M301" s="2" t="s">
        <v>730</v>
      </c>
      <c r="N301" s="2" t="s">
        <v>316</v>
      </c>
      <c r="O301" s="2" t="s">
        <v>29</v>
      </c>
      <c r="P301" s="4">
        <v>17000</v>
      </c>
      <c r="Q301" s="4">
        <v>0</v>
      </c>
      <c r="R301" s="4">
        <v>0</v>
      </c>
      <c r="S301"/>
    </row>
    <row r="302" spans="2:19" x14ac:dyDescent="0.25">
      <c r="B302">
        <v>1</v>
      </c>
      <c r="C302" s="2" t="s">
        <v>22</v>
      </c>
      <c r="D302" s="2" t="s">
        <v>741</v>
      </c>
      <c r="E302" s="2" t="s">
        <v>742</v>
      </c>
      <c r="F302" s="2" t="s">
        <v>313</v>
      </c>
      <c r="G302" s="2" t="s">
        <v>17</v>
      </c>
      <c r="H302" s="2" t="s">
        <v>24</v>
      </c>
      <c r="I302" s="21">
        <v>1</v>
      </c>
      <c r="J302" s="1">
        <v>4919</v>
      </c>
      <c r="K302" s="3">
        <v>42944</v>
      </c>
      <c r="L302" s="4"/>
      <c r="M302" s="2" t="s">
        <v>730</v>
      </c>
      <c r="N302" s="2" t="s">
        <v>316</v>
      </c>
      <c r="O302" s="2" t="s">
        <v>29</v>
      </c>
      <c r="P302" s="4">
        <v>16000</v>
      </c>
      <c r="Q302" s="4">
        <v>0</v>
      </c>
      <c r="R302" s="4">
        <v>0</v>
      </c>
      <c r="S302"/>
    </row>
    <row r="303" spans="2:19" x14ac:dyDescent="0.25">
      <c r="B303">
        <v>1</v>
      </c>
      <c r="C303" s="2" t="s">
        <v>22</v>
      </c>
      <c r="D303" s="2" t="s">
        <v>743</v>
      </c>
      <c r="E303" s="2" t="s">
        <v>744</v>
      </c>
      <c r="F303" s="2" t="s">
        <v>313</v>
      </c>
      <c r="G303" s="2" t="s">
        <v>17</v>
      </c>
      <c r="H303" s="2" t="s">
        <v>24</v>
      </c>
      <c r="I303" s="21">
        <v>1</v>
      </c>
      <c r="J303" s="1">
        <v>5013</v>
      </c>
      <c r="K303" s="3">
        <v>42944</v>
      </c>
      <c r="L303" s="4"/>
      <c r="M303" s="2" t="s">
        <v>730</v>
      </c>
      <c r="N303" s="2" t="s">
        <v>316</v>
      </c>
      <c r="O303" s="2" t="s">
        <v>29</v>
      </c>
      <c r="P303" s="4">
        <v>17000</v>
      </c>
      <c r="Q303" s="4">
        <v>0</v>
      </c>
      <c r="R303" s="4">
        <v>0</v>
      </c>
      <c r="S303"/>
    </row>
    <row r="304" spans="2:19" x14ac:dyDescent="0.25">
      <c r="B304">
        <v>1</v>
      </c>
      <c r="C304" s="2" t="s">
        <v>22</v>
      </c>
      <c r="D304" s="2" t="s">
        <v>745</v>
      </c>
      <c r="E304" s="2" t="s">
        <v>746</v>
      </c>
      <c r="F304" s="2" t="s">
        <v>313</v>
      </c>
      <c r="G304" s="2" t="s">
        <v>17</v>
      </c>
      <c r="H304" s="2" t="s">
        <v>24</v>
      </c>
      <c r="I304" s="21">
        <v>1</v>
      </c>
      <c r="J304" s="1">
        <v>4918</v>
      </c>
      <c r="K304" s="3">
        <v>42944</v>
      </c>
      <c r="L304" s="4"/>
      <c r="M304" s="2" t="s">
        <v>730</v>
      </c>
      <c r="N304" s="2" t="s">
        <v>316</v>
      </c>
      <c r="O304" s="2" t="s">
        <v>29</v>
      </c>
      <c r="P304" s="4">
        <v>16000</v>
      </c>
      <c r="Q304" s="4">
        <v>0</v>
      </c>
      <c r="R304" s="4">
        <v>0</v>
      </c>
      <c r="S304"/>
    </row>
    <row r="305" spans="2:19" x14ac:dyDescent="0.25">
      <c r="B305">
        <v>1</v>
      </c>
      <c r="C305" s="2" t="s">
        <v>22</v>
      </c>
      <c r="D305" s="2" t="s">
        <v>745</v>
      </c>
      <c r="E305" s="2" t="s">
        <v>746</v>
      </c>
      <c r="F305" s="2" t="s">
        <v>313</v>
      </c>
      <c r="G305" s="2" t="s">
        <v>17</v>
      </c>
      <c r="H305" s="2" t="s">
        <v>24</v>
      </c>
      <c r="I305" s="21">
        <v>1</v>
      </c>
      <c r="J305" s="1">
        <v>4918</v>
      </c>
      <c r="K305" s="3">
        <v>42944</v>
      </c>
      <c r="L305" s="4"/>
      <c r="M305" s="2" t="s">
        <v>316</v>
      </c>
      <c r="N305" s="2" t="s">
        <v>29</v>
      </c>
      <c r="O305" s="2" t="s">
        <v>29</v>
      </c>
      <c r="P305" s="4">
        <v>16000</v>
      </c>
      <c r="Q305" s="4">
        <v>0</v>
      </c>
      <c r="R305" s="4">
        <v>0</v>
      </c>
      <c r="S305"/>
    </row>
    <row r="306" spans="2:19" x14ac:dyDescent="0.25">
      <c r="B306">
        <v>1</v>
      </c>
      <c r="C306" s="2" t="s">
        <v>22</v>
      </c>
      <c r="D306" s="2" t="s">
        <v>747</v>
      </c>
      <c r="E306" s="2" t="s">
        <v>748</v>
      </c>
      <c r="F306" s="2" t="s">
        <v>313</v>
      </c>
      <c r="G306" s="2" t="s">
        <v>17</v>
      </c>
      <c r="H306" s="2" t="s">
        <v>24</v>
      </c>
      <c r="I306" s="21">
        <v>1</v>
      </c>
      <c r="J306" s="1">
        <v>4968</v>
      </c>
      <c r="K306" s="3">
        <v>42944</v>
      </c>
      <c r="L306" s="4"/>
      <c r="M306" s="2" t="s">
        <v>730</v>
      </c>
      <c r="N306" s="2" t="s">
        <v>316</v>
      </c>
      <c r="O306" s="2" t="s">
        <v>29</v>
      </c>
      <c r="P306" s="4">
        <v>17000</v>
      </c>
      <c r="Q306" s="4">
        <v>0</v>
      </c>
      <c r="R306" s="4">
        <v>0</v>
      </c>
      <c r="S306"/>
    </row>
    <row r="307" spans="2:19" x14ac:dyDescent="0.25">
      <c r="B307">
        <v>1</v>
      </c>
      <c r="C307" s="2" t="s">
        <v>22</v>
      </c>
      <c r="D307" s="2" t="s">
        <v>749</v>
      </c>
      <c r="E307" s="2" t="s">
        <v>750</v>
      </c>
      <c r="F307" s="2" t="s">
        <v>313</v>
      </c>
      <c r="G307" s="2" t="s">
        <v>17</v>
      </c>
      <c r="H307" s="2" t="s">
        <v>24</v>
      </c>
      <c r="I307" s="21">
        <v>1</v>
      </c>
      <c r="J307" s="1">
        <v>4939</v>
      </c>
      <c r="K307" s="3">
        <v>42944</v>
      </c>
      <c r="L307" s="4"/>
      <c r="M307" s="2" t="s">
        <v>730</v>
      </c>
      <c r="N307" s="2" t="s">
        <v>316</v>
      </c>
      <c r="O307" s="2" t="s">
        <v>29</v>
      </c>
      <c r="P307" s="4">
        <v>16000</v>
      </c>
      <c r="Q307" s="4">
        <v>0</v>
      </c>
      <c r="R307" s="4">
        <v>0</v>
      </c>
      <c r="S307"/>
    </row>
    <row r="308" spans="2:19" x14ac:dyDescent="0.25">
      <c r="B308">
        <v>1</v>
      </c>
      <c r="C308" s="2" t="s">
        <v>22</v>
      </c>
      <c r="D308" s="2" t="s">
        <v>751</v>
      </c>
      <c r="E308" s="2" t="s">
        <v>752</v>
      </c>
      <c r="F308" s="2" t="s">
        <v>313</v>
      </c>
      <c r="G308" s="2" t="s">
        <v>17</v>
      </c>
      <c r="H308" s="2" t="s">
        <v>24</v>
      </c>
      <c r="I308" s="21">
        <v>1</v>
      </c>
      <c r="J308" s="1">
        <v>4981</v>
      </c>
      <c r="K308" s="3">
        <v>42944</v>
      </c>
      <c r="L308" s="4"/>
      <c r="M308" s="2" t="s">
        <v>730</v>
      </c>
      <c r="N308" s="2" t="s">
        <v>316</v>
      </c>
      <c r="O308" s="2" t="s">
        <v>29</v>
      </c>
      <c r="P308" s="4">
        <v>17000</v>
      </c>
      <c r="Q308" s="4">
        <v>0</v>
      </c>
      <c r="R308" s="4">
        <v>0</v>
      </c>
      <c r="S308"/>
    </row>
    <row r="309" spans="2:19" x14ac:dyDescent="0.25">
      <c r="B309">
        <v>1</v>
      </c>
      <c r="C309" s="2" t="s">
        <v>22</v>
      </c>
      <c r="D309" s="2" t="s">
        <v>753</v>
      </c>
      <c r="E309" s="2" t="s">
        <v>754</v>
      </c>
      <c r="F309" s="2" t="s">
        <v>313</v>
      </c>
      <c r="G309" s="2" t="s">
        <v>17</v>
      </c>
      <c r="H309" s="2" t="s">
        <v>24</v>
      </c>
      <c r="I309" s="21">
        <v>1</v>
      </c>
      <c r="J309" s="1">
        <v>5618</v>
      </c>
      <c r="K309" s="3">
        <v>42944</v>
      </c>
      <c r="L309" s="4"/>
      <c r="M309" s="2" t="s">
        <v>730</v>
      </c>
      <c r="N309" s="2" t="s">
        <v>316</v>
      </c>
      <c r="O309" s="2" t="s">
        <v>29</v>
      </c>
      <c r="P309" s="4">
        <v>18000</v>
      </c>
      <c r="Q309" s="4">
        <v>0</v>
      </c>
      <c r="R309" s="4">
        <v>0</v>
      </c>
      <c r="S309"/>
    </row>
    <row r="310" spans="2:19" x14ac:dyDescent="0.25">
      <c r="B310">
        <v>1</v>
      </c>
      <c r="C310" s="2" t="s">
        <v>22</v>
      </c>
      <c r="D310" s="2" t="s">
        <v>755</v>
      </c>
      <c r="E310" s="2" t="s">
        <v>756</v>
      </c>
      <c r="F310" s="2" t="s">
        <v>313</v>
      </c>
      <c r="G310" s="2" t="s">
        <v>17</v>
      </c>
      <c r="H310" s="2" t="s">
        <v>24</v>
      </c>
      <c r="I310" s="21">
        <v>1</v>
      </c>
      <c r="J310" s="1">
        <v>6191</v>
      </c>
      <c r="K310" s="3">
        <v>42944</v>
      </c>
      <c r="L310" s="4"/>
      <c r="M310" s="2" t="s">
        <v>730</v>
      </c>
      <c r="N310" s="2" t="s">
        <v>316</v>
      </c>
      <c r="O310" s="2" t="s">
        <v>29</v>
      </c>
      <c r="P310" s="4">
        <v>18000</v>
      </c>
      <c r="Q310" s="4">
        <v>0</v>
      </c>
      <c r="R310" s="4">
        <v>0</v>
      </c>
      <c r="S310"/>
    </row>
    <row r="311" spans="2:19" x14ac:dyDescent="0.25">
      <c r="B311">
        <v>1</v>
      </c>
      <c r="C311" s="2" t="s">
        <v>22</v>
      </c>
      <c r="D311" s="2" t="s">
        <v>757</v>
      </c>
      <c r="E311" s="2" t="s">
        <v>758</v>
      </c>
      <c r="F311" s="2" t="s">
        <v>313</v>
      </c>
      <c r="G311" s="2" t="s">
        <v>17</v>
      </c>
      <c r="H311" s="2" t="s">
        <v>24</v>
      </c>
      <c r="I311" s="21">
        <v>1</v>
      </c>
      <c r="J311" s="1">
        <v>6204</v>
      </c>
      <c r="K311" s="3">
        <v>42944</v>
      </c>
      <c r="L311" s="4"/>
      <c r="M311" s="2" t="s">
        <v>730</v>
      </c>
      <c r="N311" s="2" t="s">
        <v>316</v>
      </c>
      <c r="O311" s="2" t="s">
        <v>29</v>
      </c>
      <c r="P311" s="4">
        <v>18000</v>
      </c>
      <c r="Q311" s="4">
        <v>0</v>
      </c>
      <c r="R311" s="4">
        <v>0</v>
      </c>
      <c r="S311"/>
    </row>
    <row r="312" spans="2:19" x14ac:dyDescent="0.25">
      <c r="B312">
        <v>1</v>
      </c>
      <c r="C312" s="2" t="s">
        <v>22</v>
      </c>
      <c r="D312" s="2" t="s">
        <v>759</v>
      </c>
      <c r="E312" s="2" t="s">
        <v>760</v>
      </c>
      <c r="F312" s="2" t="s">
        <v>313</v>
      </c>
      <c r="G312" s="2" t="s">
        <v>17</v>
      </c>
      <c r="H312" s="2" t="s">
        <v>24</v>
      </c>
      <c r="I312" s="21">
        <v>1</v>
      </c>
      <c r="J312" s="1">
        <v>6278</v>
      </c>
      <c r="K312" s="3">
        <v>42944</v>
      </c>
      <c r="L312" s="4"/>
      <c r="M312" s="2" t="s">
        <v>730</v>
      </c>
      <c r="N312" s="2" t="s">
        <v>316</v>
      </c>
      <c r="O312" s="2" t="s">
        <v>29</v>
      </c>
      <c r="P312" s="4">
        <v>19000</v>
      </c>
      <c r="Q312" s="4">
        <v>0</v>
      </c>
      <c r="R312" s="4">
        <v>0</v>
      </c>
      <c r="S312"/>
    </row>
    <row r="313" spans="2:19" x14ac:dyDescent="0.25">
      <c r="B313">
        <v>1</v>
      </c>
      <c r="C313" s="2" t="s">
        <v>22</v>
      </c>
      <c r="D313" s="2" t="s">
        <v>761</v>
      </c>
      <c r="E313" s="2" t="s">
        <v>762</v>
      </c>
      <c r="F313" s="2" t="s">
        <v>313</v>
      </c>
      <c r="G313" s="2" t="s">
        <v>17</v>
      </c>
      <c r="H313" s="2" t="s">
        <v>24</v>
      </c>
      <c r="I313" s="21">
        <v>1</v>
      </c>
      <c r="J313" s="1">
        <v>6325</v>
      </c>
      <c r="K313" s="3">
        <v>42944</v>
      </c>
      <c r="L313" s="4"/>
      <c r="M313" s="2" t="s">
        <v>730</v>
      </c>
      <c r="N313" s="2" t="s">
        <v>316</v>
      </c>
      <c r="O313" s="2" t="s">
        <v>29</v>
      </c>
      <c r="P313" s="4">
        <v>19000</v>
      </c>
      <c r="Q313" s="4">
        <v>0</v>
      </c>
      <c r="R313" s="4">
        <v>0</v>
      </c>
      <c r="S313"/>
    </row>
    <row r="314" spans="2:19" x14ac:dyDescent="0.25">
      <c r="B314">
        <v>1</v>
      </c>
      <c r="C314" s="2" t="s">
        <v>22</v>
      </c>
      <c r="D314" s="2" t="s">
        <v>763</v>
      </c>
      <c r="E314" s="2" t="s">
        <v>764</v>
      </c>
      <c r="F314" s="2" t="s">
        <v>313</v>
      </c>
      <c r="G314" s="2" t="s">
        <v>17</v>
      </c>
      <c r="H314" s="2" t="s">
        <v>24</v>
      </c>
      <c r="I314" s="21">
        <v>1</v>
      </c>
      <c r="J314" s="1">
        <v>5271</v>
      </c>
      <c r="K314" s="3">
        <v>42944</v>
      </c>
      <c r="L314" s="4"/>
      <c r="M314" s="2" t="s">
        <v>730</v>
      </c>
      <c r="N314" s="2" t="s">
        <v>316</v>
      </c>
      <c r="O314" s="2" t="s">
        <v>29</v>
      </c>
      <c r="P314" s="4">
        <v>17000</v>
      </c>
      <c r="Q314" s="4">
        <v>0</v>
      </c>
      <c r="R314" s="4">
        <v>0</v>
      </c>
      <c r="S314"/>
    </row>
    <row r="315" spans="2:19" x14ac:dyDescent="0.25">
      <c r="B315">
        <v>1</v>
      </c>
      <c r="C315" s="2" t="s">
        <v>22</v>
      </c>
      <c r="D315" s="2" t="s">
        <v>765</v>
      </c>
      <c r="E315" s="2" t="s">
        <v>766</v>
      </c>
      <c r="F315" s="2" t="s">
        <v>313</v>
      </c>
      <c r="G315" s="2" t="s">
        <v>17</v>
      </c>
      <c r="H315" s="2" t="s">
        <v>24</v>
      </c>
      <c r="I315" s="21">
        <v>1</v>
      </c>
      <c r="J315" s="1">
        <v>5007</v>
      </c>
      <c r="K315" s="3">
        <v>42944</v>
      </c>
      <c r="L315" s="4"/>
      <c r="M315" s="2" t="s">
        <v>730</v>
      </c>
      <c r="N315" s="2" t="s">
        <v>316</v>
      </c>
      <c r="O315" s="2" t="s">
        <v>29</v>
      </c>
      <c r="P315" s="4">
        <v>17000</v>
      </c>
      <c r="Q315" s="4">
        <v>0</v>
      </c>
      <c r="R315" s="4">
        <v>0</v>
      </c>
      <c r="S315"/>
    </row>
    <row r="316" spans="2:19" x14ac:dyDescent="0.25">
      <c r="B316">
        <v>1</v>
      </c>
      <c r="C316" s="2" t="s">
        <v>22</v>
      </c>
      <c r="D316" s="2" t="s">
        <v>767</v>
      </c>
      <c r="E316" s="2" t="s">
        <v>768</v>
      </c>
      <c r="F316" s="2" t="s">
        <v>313</v>
      </c>
      <c r="G316" s="2" t="s">
        <v>17</v>
      </c>
      <c r="H316" s="2" t="s">
        <v>24</v>
      </c>
      <c r="I316" s="21">
        <v>1</v>
      </c>
      <c r="J316" s="1">
        <v>5002</v>
      </c>
      <c r="K316" s="3">
        <v>42944</v>
      </c>
      <c r="L316" s="4"/>
      <c r="M316" s="2" t="s">
        <v>730</v>
      </c>
      <c r="N316" s="2" t="s">
        <v>316</v>
      </c>
      <c r="O316" s="2" t="s">
        <v>29</v>
      </c>
      <c r="P316" s="4">
        <v>17000</v>
      </c>
      <c r="Q316" s="4">
        <v>0</v>
      </c>
      <c r="R316" s="4">
        <v>0</v>
      </c>
      <c r="S316"/>
    </row>
    <row r="317" spans="2:19" x14ac:dyDescent="0.25">
      <c r="B317">
        <v>1</v>
      </c>
      <c r="C317" s="2" t="s">
        <v>22</v>
      </c>
      <c r="D317" s="2" t="s">
        <v>769</v>
      </c>
      <c r="E317" s="2" t="s">
        <v>770</v>
      </c>
      <c r="F317" s="2" t="s">
        <v>313</v>
      </c>
      <c r="G317" s="2" t="s">
        <v>17</v>
      </c>
      <c r="H317" s="2" t="s">
        <v>24</v>
      </c>
      <c r="I317" s="21">
        <v>1</v>
      </c>
      <c r="J317" s="1">
        <v>4970</v>
      </c>
      <c r="K317" s="3">
        <v>42944</v>
      </c>
      <c r="L317" s="4"/>
      <c r="M317" s="2" t="s">
        <v>730</v>
      </c>
      <c r="N317" s="2" t="s">
        <v>316</v>
      </c>
      <c r="O317" s="2" t="s">
        <v>29</v>
      </c>
      <c r="P317" s="4">
        <v>17000</v>
      </c>
      <c r="Q317" s="4">
        <v>0</v>
      </c>
      <c r="R317" s="4">
        <v>0</v>
      </c>
      <c r="S317"/>
    </row>
    <row r="318" spans="2:19" x14ac:dyDescent="0.25">
      <c r="B318">
        <v>1</v>
      </c>
      <c r="C318" s="2" t="s">
        <v>22</v>
      </c>
      <c r="D318" s="2" t="s">
        <v>771</v>
      </c>
      <c r="E318" s="2" t="s">
        <v>772</v>
      </c>
      <c r="F318" s="2" t="s">
        <v>313</v>
      </c>
      <c r="G318" s="2" t="s">
        <v>17</v>
      </c>
      <c r="H318" s="2" t="s">
        <v>24</v>
      </c>
      <c r="I318" s="21">
        <v>1</v>
      </c>
      <c r="J318" s="1">
        <v>4933</v>
      </c>
      <c r="K318" s="3">
        <v>42944</v>
      </c>
      <c r="L318" s="4"/>
      <c r="M318" s="2" t="s">
        <v>730</v>
      </c>
      <c r="N318" s="2" t="s">
        <v>316</v>
      </c>
      <c r="O318" s="2" t="s">
        <v>29</v>
      </c>
      <c r="P318" s="4">
        <v>16000</v>
      </c>
      <c r="Q318" s="4">
        <v>0</v>
      </c>
      <c r="R318" s="4">
        <v>0</v>
      </c>
      <c r="S318"/>
    </row>
    <row r="319" spans="2:19" x14ac:dyDescent="0.25">
      <c r="B319">
        <v>1</v>
      </c>
      <c r="C319" s="2" t="s">
        <v>22</v>
      </c>
      <c r="D319" s="2" t="s">
        <v>773</v>
      </c>
      <c r="E319" s="2" t="s">
        <v>774</v>
      </c>
      <c r="F319" s="2" t="s">
        <v>313</v>
      </c>
      <c r="G319" s="2" t="s">
        <v>17</v>
      </c>
      <c r="H319" s="2" t="s">
        <v>24</v>
      </c>
      <c r="I319" s="21">
        <v>1</v>
      </c>
      <c r="J319" s="1">
        <v>5006</v>
      </c>
      <c r="K319" s="3">
        <v>42944</v>
      </c>
      <c r="L319" s="4"/>
      <c r="M319" s="2" t="s">
        <v>730</v>
      </c>
      <c r="N319" s="2" t="s">
        <v>316</v>
      </c>
      <c r="O319" s="2" t="s">
        <v>29</v>
      </c>
      <c r="P319" s="4">
        <v>17000</v>
      </c>
      <c r="Q319" s="4">
        <v>0</v>
      </c>
      <c r="R319" s="4">
        <v>0</v>
      </c>
      <c r="S319"/>
    </row>
    <row r="320" spans="2:19" x14ac:dyDescent="0.25">
      <c r="B320">
        <v>1</v>
      </c>
      <c r="C320" s="2" t="s">
        <v>22</v>
      </c>
      <c r="D320" s="2" t="s">
        <v>775</v>
      </c>
      <c r="E320" s="2" t="s">
        <v>776</v>
      </c>
      <c r="F320" s="2" t="s">
        <v>313</v>
      </c>
      <c r="G320" s="2" t="s">
        <v>17</v>
      </c>
      <c r="H320" s="2" t="s">
        <v>24</v>
      </c>
      <c r="I320" s="21">
        <v>1</v>
      </c>
      <c r="J320" s="1">
        <v>4999</v>
      </c>
      <c r="K320" s="3">
        <v>42944</v>
      </c>
      <c r="L320" s="4"/>
      <c r="M320" s="2" t="s">
        <v>730</v>
      </c>
      <c r="N320" s="2" t="s">
        <v>316</v>
      </c>
      <c r="O320" s="2" t="s">
        <v>29</v>
      </c>
      <c r="P320" s="4">
        <v>17000</v>
      </c>
      <c r="Q320" s="4">
        <v>0</v>
      </c>
      <c r="R320" s="4">
        <v>0</v>
      </c>
      <c r="S320"/>
    </row>
    <row r="321" spans="2:19" x14ac:dyDescent="0.25">
      <c r="B321">
        <v>1</v>
      </c>
      <c r="C321" s="2" t="s">
        <v>22</v>
      </c>
      <c r="D321" s="2" t="s">
        <v>777</v>
      </c>
      <c r="E321" s="2" t="s">
        <v>778</v>
      </c>
      <c r="F321" s="2" t="s">
        <v>313</v>
      </c>
      <c r="G321" s="2" t="s">
        <v>17</v>
      </c>
      <c r="H321" s="2" t="s">
        <v>24</v>
      </c>
      <c r="I321" s="21">
        <v>1</v>
      </c>
      <c r="J321" s="1">
        <v>4913</v>
      </c>
      <c r="K321" s="3">
        <v>42944</v>
      </c>
      <c r="L321" s="4"/>
      <c r="M321" s="2" t="s">
        <v>730</v>
      </c>
      <c r="N321" s="2" t="s">
        <v>316</v>
      </c>
      <c r="O321" s="2" t="s">
        <v>29</v>
      </c>
      <c r="P321" s="4">
        <v>16000</v>
      </c>
      <c r="Q321" s="4">
        <v>0</v>
      </c>
      <c r="R321" s="4">
        <v>0</v>
      </c>
      <c r="S321"/>
    </row>
    <row r="322" spans="2:19" x14ac:dyDescent="0.25">
      <c r="B322">
        <v>1</v>
      </c>
      <c r="C322" s="2" t="s">
        <v>22</v>
      </c>
      <c r="D322" s="2" t="s">
        <v>779</v>
      </c>
      <c r="E322" s="2" t="s">
        <v>780</v>
      </c>
      <c r="F322" s="2" t="s">
        <v>313</v>
      </c>
      <c r="G322" s="2" t="s">
        <v>17</v>
      </c>
      <c r="H322" s="2" t="s">
        <v>24</v>
      </c>
      <c r="I322" s="21">
        <v>1</v>
      </c>
      <c r="J322" s="1">
        <v>4946</v>
      </c>
      <c r="K322" s="3">
        <v>42944</v>
      </c>
      <c r="L322" s="4"/>
      <c r="M322" s="2" t="s">
        <v>730</v>
      </c>
      <c r="N322" s="2" t="s">
        <v>316</v>
      </c>
      <c r="O322" s="2" t="s">
        <v>29</v>
      </c>
      <c r="P322" s="4">
        <v>16000</v>
      </c>
      <c r="Q322" s="4">
        <v>0</v>
      </c>
      <c r="R322" s="4">
        <v>0</v>
      </c>
      <c r="S322"/>
    </row>
    <row r="323" spans="2:19" x14ac:dyDescent="0.25">
      <c r="B323">
        <v>1</v>
      </c>
      <c r="C323" s="2" t="s">
        <v>22</v>
      </c>
      <c r="D323" s="2" t="s">
        <v>781</v>
      </c>
      <c r="E323" s="2" t="s">
        <v>782</v>
      </c>
      <c r="F323" s="2" t="s">
        <v>313</v>
      </c>
      <c r="G323" s="2" t="s">
        <v>17</v>
      </c>
      <c r="H323" s="2" t="s">
        <v>24</v>
      </c>
      <c r="I323" s="21">
        <v>1</v>
      </c>
      <c r="J323" s="1">
        <v>6210</v>
      </c>
      <c r="K323" s="3">
        <v>42944</v>
      </c>
      <c r="L323" s="4"/>
      <c r="M323" s="2" t="s">
        <v>730</v>
      </c>
      <c r="N323" s="2" t="s">
        <v>316</v>
      </c>
      <c r="O323" s="2" t="s">
        <v>316</v>
      </c>
      <c r="P323" s="4">
        <v>18000</v>
      </c>
      <c r="Q323" s="4">
        <v>0</v>
      </c>
      <c r="R323" s="4">
        <v>0</v>
      </c>
      <c r="S323"/>
    </row>
    <row r="324" spans="2:19" x14ac:dyDescent="0.25">
      <c r="B324">
        <v>1</v>
      </c>
      <c r="C324" s="2" t="s">
        <v>22</v>
      </c>
      <c r="D324" s="2" t="s">
        <v>783</v>
      </c>
      <c r="E324" s="2" t="s">
        <v>784</v>
      </c>
      <c r="F324" s="2" t="s">
        <v>313</v>
      </c>
      <c r="G324" s="2" t="s">
        <v>17</v>
      </c>
      <c r="H324" s="2" t="s">
        <v>24</v>
      </c>
      <c r="I324" s="21">
        <v>1</v>
      </c>
      <c r="J324" s="1">
        <v>5245</v>
      </c>
      <c r="K324" s="3">
        <v>42944</v>
      </c>
      <c r="L324" s="4"/>
      <c r="M324" s="2" t="s">
        <v>730</v>
      </c>
      <c r="N324" s="2" t="s">
        <v>316</v>
      </c>
      <c r="O324" s="2" t="s">
        <v>316</v>
      </c>
      <c r="P324" s="4">
        <v>17000</v>
      </c>
      <c r="Q324" s="4">
        <v>0</v>
      </c>
      <c r="R324" s="4">
        <v>0</v>
      </c>
      <c r="S324"/>
    </row>
    <row r="325" spans="2:19" x14ac:dyDescent="0.25">
      <c r="B325">
        <v>1</v>
      </c>
      <c r="C325" s="2" t="s">
        <v>22</v>
      </c>
      <c r="D325" s="2" t="s">
        <v>785</v>
      </c>
      <c r="E325" s="2" t="s">
        <v>786</v>
      </c>
      <c r="F325" s="2" t="s">
        <v>313</v>
      </c>
      <c r="G325" s="2" t="s">
        <v>17</v>
      </c>
      <c r="H325" s="2" t="s">
        <v>24</v>
      </c>
      <c r="I325" s="21">
        <v>1</v>
      </c>
      <c r="J325" s="1">
        <v>5207</v>
      </c>
      <c r="K325" s="3">
        <v>42944</v>
      </c>
      <c r="L325" s="4"/>
      <c r="M325" s="2" t="s">
        <v>730</v>
      </c>
      <c r="N325" s="2" t="s">
        <v>316</v>
      </c>
      <c r="O325" s="2" t="s">
        <v>316</v>
      </c>
      <c r="P325" s="4">
        <v>17000</v>
      </c>
      <c r="Q325" s="4">
        <v>0</v>
      </c>
      <c r="R325" s="4">
        <v>0</v>
      </c>
      <c r="S325"/>
    </row>
    <row r="326" spans="2:19" x14ac:dyDescent="0.25">
      <c r="B326">
        <v>1</v>
      </c>
      <c r="C326" s="2" t="s">
        <v>22</v>
      </c>
      <c r="D326" s="2" t="s">
        <v>787</v>
      </c>
      <c r="E326" s="2" t="s">
        <v>788</v>
      </c>
      <c r="F326" s="2" t="s">
        <v>313</v>
      </c>
      <c r="G326" s="2" t="s">
        <v>17</v>
      </c>
      <c r="H326" s="2" t="s">
        <v>24</v>
      </c>
      <c r="I326" s="21">
        <v>1</v>
      </c>
      <c r="J326" s="1">
        <v>5284</v>
      </c>
      <c r="K326" s="3">
        <v>42944</v>
      </c>
      <c r="L326" s="4"/>
      <c r="M326" s="2" t="s">
        <v>730</v>
      </c>
      <c r="N326" s="2" t="s">
        <v>316</v>
      </c>
      <c r="O326" s="2" t="s">
        <v>316</v>
      </c>
      <c r="P326" s="4">
        <v>17000</v>
      </c>
      <c r="Q326" s="4">
        <v>0</v>
      </c>
      <c r="R326" s="4">
        <v>0</v>
      </c>
      <c r="S326"/>
    </row>
    <row r="327" spans="2:19" x14ac:dyDescent="0.25">
      <c r="B327">
        <v>1</v>
      </c>
      <c r="C327" s="2" t="s">
        <v>22</v>
      </c>
      <c r="D327" s="2" t="s">
        <v>789</v>
      </c>
      <c r="E327" s="2" t="s">
        <v>790</v>
      </c>
      <c r="F327" s="2" t="s">
        <v>313</v>
      </c>
      <c r="G327" s="2" t="s">
        <v>17</v>
      </c>
      <c r="H327" s="2" t="s">
        <v>24</v>
      </c>
      <c r="I327" s="21">
        <v>1</v>
      </c>
      <c r="J327" s="1">
        <v>5198</v>
      </c>
      <c r="K327" s="3">
        <v>42944</v>
      </c>
      <c r="L327" s="4"/>
      <c r="M327" s="2" t="s">
        <v>730</v>
      </c>
      <c r="N327" s="2" t="s">
        <v>316</v>
      </c>
      <c r="O327" s="2" t="s">
        <v>316</v>
      </c>
      <c r="P327" s="4">
        <v>17000</v>
      </c>
      <c r="Q327" s="4">
        <v>0</v>
      </c>
      <c r="R327" s="4">
        <v>0</v>
      </c>
      <c r="S327"/>
    </row>
    <row r="328" spans="2:19" x14ac:dyDescent="0.25">
      <c r="B328">
        <v>1</v>
      </c>
      <c r="C328" s="2" t="s">
        <v>22</v>
      </c>
      <c r="D328" s="2" t="s">
        <v>791</v>
      </c>
      <c r="E328" s="2" t="s">
        <v>792</v>
      </c>
      <c r="F328" s="2" t="s">
        <v>313</v>
      </c>
      <c r="G328" s="2" t="s">
        <v>17</v>
      </c>
      <c r="H328" s="2" t="s">
        <v>24</v>
      </c>
      <c r="I328" s="21">
        <v>1</v>
      </c>
      <c r="J328" s="1">
        <v>5268</v>
      </c>
      <c r="K328" s="3">
        <v>42944</v>
      </c>
      <c r="L328" s="4"/>
      <c r="M328" s="2" t="s">
        <v>730</v>
      </c>
      <c r="N328" s="2" t="s">
        <v>316</v>
      </c>
      <c r="O328" s="2" t="s">
        <v>316</v>
      </c>
      <c r="P328" s="4">
        <v>17000</v>
      </c>
      <c r="Q328" s="4">
        <v>0</v>
      </c>
      <c r="R328" s="4">
        <v>0</v>
      </c>
      <c r="S328"/>
    </row>
    <row r="329" spans="2:19" x14ac:dyDescent="0.25">
      <c r="B329">
        <v>1</v>
      </c>
      <c r="C329" s="2" t="s">
        <v>22</v>
      </c>
      <c r="D329" s="2" t="s">
        <v>793</v>
      </c>
      <c r="E329" s="2" t="s">
        <v>794</v>
      </c>
      <c r="F329" s="2" t="s">
        <v>313</v>
      </c>
      <c r="G329" s="2" t="s">
        <v>17</v>
      </c>
      <c r="H329" s="2" t="s">
        <v>24</v>
      </c>
      <c r="I329" s="21">
        <v>1</v>
      </c>
      <c r="J329" s="1">
        <v>5250</v>
      </c>
      <c r="K329" s="3">
        <v>42944</v>
      </c>
      <c r="L329" s="4"/>
      <c r="M329" s="2" t="s">
        <v>730</v>
      </c>
      <c r="N329" s="2" t="s">
        <v>316</v>
      </c>
      <c r="O329" s="2" t="s">
        <v>316</v>
      </c>
      <c r="P329" s="4">
        <v>17000</v>
      </c>
      <c r="Q329" s="4">
        <v>0</v>
      </c>
      <c r="R329" s="4">
        <v>0</v>
      </c>
      <c r="S329"/>
    </row>
    <row r="330" spans="2:19" x14ac:dyDescent="0.25">
      <c r="B330">
        <v>1</v>
      </c>
      <c r="C330" s="2" t="s">
        <v>22</v>
      </c>
      <c r="D330" s="2" t="s">
        <v>795</v>
      </c>
      <c r="E330" s="2" t="s">
        <v>796</v>
      </c>
      <c r="F330" s="2" t="s">
        <v>313</v>
      </c>
      <c r="G330" s="2" t="s">
        <v>17</v>
      </c>
      <c r="H330" s="2" t="s">
        <v>24</v>
      </c>
      <c r="I330" s="21">
        <v>1</v>
      </c>
      <c r="J330" s="1">
        <v>5253</v>
      </c>
      <c r="K330" s="3">
        <v>42944</v>
      </c>
      <c r="L330" s="4"/>
      <c r="M330" s="2" t="s">
        <v>730</v>
      </c>
      <c r="N330" s="2" t="s">
        <v>316</v>
      </c>
      <c r="O330" s="2" t="s">
        <v>316</v>
      </c>
      <c r="P330" s="4">
        <v>17000</v>
      </c>
      <c r="Q330" s="4">
        <v>0</v>
      </c>
      <c r="R330" s="4">
        <v>0</v>
      </c>
      <c r="S330"/>
    </row>
    <row r="331" spans="2:19" x14ac:dyDescent="0.25">
      <c r="B331">
        <v>1</v>
      </c>
      <c r="C331" s="2" t="s">
        <v>22</v>
      </c>
      <c r="D331" s="2" t="s">
        <v>797</v>
      </c>
      <c r="E331" s="2" t="s">
        <v>798</v>
      </c>
      <c r="F331" s="2" t="s">
        <v>313</v>
      </c>
      <c r="G331" s="2" t="s">
        <v>17</v>
      </c>
      <c r="H331" s="2" t="s">
        <v>24</v>
      </c>
      <c r="I331" s="21">
        <v>1</v>
      </c>
      <c r="J331" s="1">
        <v>5221</v>
      </c>
      <c r="K331" s="3">
        <v>42944</v>
      </c>
      <c r="L331" s="4"/>
      <c r="M331" s="2" t="s">
        <v>730</v>
      </c>
      <c r="N331" s="2" t="s">
        <v>316</v>
      </c>
      <c r="O331" s="2" t="s">
        <v>316</v>
      </c>
      <c r="P331" s="4">
        <v>17000</v>
      </c>
      <c r="Q331" s="4">
        <v>0</v>
      </c>
      <c r="R331" s="4">
        <v>0</v>
      </c>
      <c r="S331"/>
    </row>
    <row r="332" spans="2:19" x14ac:dyDescent="0.25">
      <c r="B332">
        <v>1</v>
      </c>
      <c r="C332" s="2" t="s">
        <v>22</v>
      </c>
      <c r="D332" s="2" t="s">
        <v>799</v>
      </c>
      <c r="E332" s="2" t="s">
        <v>800</v>
      </c>
      <c r="F332" s="2" t="s">
        <v>313</v>
      </c>
      <c r="G332" s="2" t="s">
        <v>17</v>
      </c>
      <c r="H332" s="2" t="s">
        <v>24</v>
      </c>
      <c r="I332" s="21">
        <v>1</v>
      </c>
      <c r="J332" s="1">
        <v>6225</v>
      </c>
      <c r="K332" s="3">
        <v>42944</v>
      </c>
      <c r="L332" s="4"/>
      <c r="M332" s="2" t="s">
        <v>730</v>
      </c>
      <c r="N332" s="2" t="s">
        <v>316</v>
      </c>
      <c r="O332" s="2" t="s">
        <v>316</v>
      </c>
      <c r="P332" s="4">
        <v>19000</v>
      </c>
      <c r="Q332" s="4">
        <v>0</v>
      </c>
      <c r="R332" s="4">
        <v>0</v>
      </c>
      <c r="S332"/>
    </row>
    <row r="333" spans="2:19" x14ac:dyDescent="0.25">
      <c r="B333">
        <v>1</v>
      </c>
      <c r="C333" s="2" t="s">
        <v>22</v>
      </c>
      <c r="D333" s="2" t="s">
        <v>801</v>
      </c>
      <c r="E333" s="2" t="s">
        <v>802</v>
      </c>
      <c r="F333" s="2" t="s">
        <v>313</v>
      </c>
      <c r="G333" s="2" t="s">
        <v>17</v>
      </c>
      <c r="H333" s="2" t="s">
        <v>24</v>
      </c>
      <c r="I333" s="21">
        <v>1</v>
      </c>
      <c r="J333" s="1">
        <v>5814</v>
      </c>
      <c r="K333" s="3">
        <v>42944</v>
      </c>
      <c r="L333" s="4"/>
      <c r="M333" s="2" t="s">
        <v>730</v>
      </c>
      <c r="N333" s="2" t="s">
        <v>316</v>
      </c>
      <c r="O333" s="2" t="s">
        <v>29</v>
      </c>
      <c r="P333" s="4">
        <v>18000</v>
      </c>
      <c r="Q333" s="4">
        <v>0</v>
      </c>
      <c r="R333" s="4">
        <v>0</v>
      </c>
      <c r="S333"/>
    </row>
    <row r="334" spans="2:19" x14ac:dyDescent="0.25">
      <c r="B334">
        <v>1</v>
      </c>
      <c r="C334" s="2" t="s">
        <v>22</v>
      </c>
      <c r="D334" s="2" t="s">
        <v>803</v>
      </c>
      <c r="E334" s="2" t="s">
        <v>804</v>
      </c>
      <c r="F334" s="2" t="s">
        <v>313</v>
      </c>
      <c r="G334" s="2" t="s">
        <v>17</v>
      </c>
      <c r="H334" s="2" t="s">
        <v>24</v>
      </c>
      <c r="I334" s="21">
        <v>1</v>
      </c>
      <c r="J334" s="1">
        <v>4933</v>
      </c>
      <c r="K334" s="3">
        <v>42944</v>
      </c>
      <c r="L334" s="4"/>
      <c r="M334" s="2" t="s">
        <v>730</v>
      </c>
      <c r="N334" s="2" t="s">
        <v>316</v>
      </c>
      <c r="O334" s="2" t="s">
        <v>29</v>
      </c>
      <c r="P334" s="4">
        <v>16000</v>
      </c>
      <c r="Q334" s="4">
        <v>0</v>
      </c>
      <c r="R334" s="4">
        <v>0</v>
      </c>
      <c r="S334"/>
    </row>
    <row r="335" spans="2:19" x14ac:dyDescent="0.25">
      <c r="B335">
        <v>1</v>
      </c>
      <c r="C335" s="2" t="s">
        <v>22</v>
      </c>
      <c r="D335" s="2" t="s">
        <v>805</v>
      </c>
      <c r="E335" s="2" t="s">
        <v>806</v>
      </c>
      <c r="F335" s="2" t="s">
        <v>313</v>
      </c>
      <c r="G335" s="2" t="s">
        <v>17</v>
      </c>
      <c r="H335" s="2" t="s">
        <v>24</v>
      </c>
      <c r="I335" s="21">
        <v>1</v>
      </c>
      <c r="J335" s="1">
        <v>4936</v>
      </c>
      <c r="K335" s="3">
        <v>42944</v>
      </c>
      <c r="L335" s="4"/>
      <c r="M335" s="2" t="s">
        <v>730</v>
      </c>
      <c r="N335" s="2" t="s">
        <v>316</v>
      </c>
      <c r="O335" s="2" t="s">
        <v>29</v>
      </c>
      <c r="P335" s="4">
        <v>16000</v>
      </c>
      <c r="Q335" s="4">
        <v>0</v>
      </c>
      <c r="R335" s="4">
        <v>0</v>
      </c>
      <c r="S335"/>
    </row>
    <row r="336" spans="2:19" x14ac:dyDescent="0.25">
      <c r="B336">
        <v>1</v>
      </c>
      <c r="C336" s="2" t="s">
        <v>22</v>
      </c>
      <c r="D336" s="2" t="s">
        <v>807</v>
      </c>
      <c r="E336" s="2" t="s">
        <v>808</v>
      </c>
      <c r="F336" s="2" t="s">
        <v>313</v>
      </c>
      <c r="G336" s="2" t="s">
        <v>17</v>
      </c>
      <c r="H336" s="2" t="s">
        <v>24</v>
      </c>
      <c r="I336" s="21">
        <v>1</v>
      </c>
      <c r="J336" s="1">
        <v>4931</v>
      </c>
      <c r="K336" s="3">
        <v>42944</v>
      </c>
      <c r="L336" s="4"/>
      <c r="M336" s="2" t="s">
        <v>730</v>
      </c>
      <c r="N336" s="2" t="s">
        <v>316</v>
      </c>
      <c r="O336" s="2" t="s">
        <v>29</v>
      </c>
      <c r="P336" s="4">
        <v>16000</v>
      </c>
      <c r="Q336" s="4">
        <v>0</v>
      </c>
      <c r="R336" s="4">
        <v>0</v>
      </c>
      <c r="S336"/>
    </row>
    <row r="337" spans="2:19" x14ac:dyDescent="0.25">
      <c r="B337">
        <v>1</v>
      </c>
      <c r="C337" s="2" t="s">
        <v>22</v>
      </c>
      <c r="D337" s="2" t="s">
        <v>809</v>
      </c>
      <c r="E337" s="2" t="s">
        <v>810</v>
      </c>
      <c r="F337" s="2" t="s">
        <v>313</v>
      </c>
      <c r="G337" s="2" t="s">
        <v>17</v>
      </c>
      <c r="H337" s="2" t="s">
        <v>24</v>
      </c>
      <c r="I337" s="21">
        <v>1</v>
      </c>
      <c r="J337" s="1">
        <v>4934</v>
      </c>
      <c r="K337" s="3">
        <v>42944</v>
      </c>
      <c r="L337" s="4"/>
      <c r="M337" s="2" t="s">
        <v>730</v>
      </c>
      <c r="N337" s="2" t="s">
        <v>316</v>
      </c>
      <c r="O337" s="2" t="s">
        <v>29</v>
      </c>
      <c r="P337" s="4">
        <v>16000</v>
      </c>
      <c r="Q337" s="4">
        <v>0</v>
      </c>
      <c r="R337" s="4">
        <v>0</v>
      </c>
      <c r="S337"/>
    </row>
    <row r="338" spans="2:19" x14ac:dyDescent="0.25">
      <c r="B338">
        <v>1</v>
      </c>
      <c r="C338" s="2" t="s">
        <v>22</v>
      </c>
      <c r="D338" s="2" t="s">
        <v>811</v>
      </c>
      <c r="E338" s="2" t="s">
        <v>812</v>
      </c>
      <c r="F338" s="2" t="s">
        <v>313</v>
      </c>
      <c r="G338" s="2" t="s">
        <v>17</v>
      </c>
      <c r="H338" s="2" t="s">
        <v>24</v>
      </c>
      <c r="I338" s="21">
        <v>1</v>
      </c>
      <c r="J338" s="1">
        <v>4882</v>
      </c>
      <c r="K338" s="3">
        <v>42944</v>
      </c>
      <c r="L338" s="4"/>
      <c r="M338" s="2" t="s">
        <v>730</v>
      </c>
      <c r="N338" s="2" t="s">
        <v>316</v>
      </c>
      <c r="O338" s="2" t="s">
        <v>29</v>
      </c>
      <c r="P338" s="4">
        <v>16000</v>
      </c>
      <c r="Q338" s="4">
        <v>0</v>
      </c>
      <c r="R338" s="4">
        <v>0</v>
      </c>
      <c r="S338"/>
    </row>
    <row r="339" spans="2:19" x14ac:dyDescent="0.25">
      <c r="B339">
        <v>1</v>
      </c>
      <c r="C339" s="2" t="s">
        <v>22</v>
      </c>
      <c r="D339" s="2" t="s">
        <v>813</v>
      </c>
      <c r="E339" s="2" t="s">
        <v>814</v>
      </c>
      <c r="F339" s="2" t="s">
        <v>313</v>
      </c>
      <c r="G339" s="2" t="s">
        <v>17</v>
      </c>
      <c r="H339" s="2" t="s">
        <v>24</v>
      </c>
      <c r="I339" s="21">
        <v>1</v>
      </c>
      <c r="J339" s="1">
        <v>4968</v>
      </c>
      <c r="K339" s="3">
        <v>42944</v>
      </c>
      <c r="L339" s="4"/>
      <c r="M339" s="2" t="s">
        <v>730</v>
      </c>
      <c r="N339" s="2" t="s">
        <v>316</v>
      </c>
      <c r="O339" s="2" t="s">
        <v>29</v>
      </c>
      <c r="P339" s="4">
        <v>17000</v>
      </c>
      <c r="Q339" s="4">
        <v>0</v>
      </c>
      <c r="R339" s="4">
        <v>0</v>
      </c>
      <c r="S339"/>
    </row>
    <row r="340" spans="2:19" x14ac:dyDescent="0.25">
      <c r="B340">
        <v>1</v>
      </c>
      <c r="C340" s="2" t="s">
        <v>22</v>
      </c>
      <c r="D340" s="2" t="s">
        <v>815</v>
      </c>
      <c r="E340" s="2" t="s">
        <v>816</v>
      </c>
      <c r="F340" s="2" t="s">
        <v>313</v>
      </c>
      <c r="G340" s="2" t="s">
        <v>17</v>
      </c>
      <c r="H340" s="2" t="s">
        <v>24</v>
      </c>
      <c r="I340" s="21">
        <v>1</v>
      </c>
      <c r="J340" s="1">
        <v>4906</v>
      </c>
      <c r="K340" s="3">
        <v>42944</v>
      </c>
      <c r="L340" s="4"/>
      <c r="M340" s="2" t="s">
        <v>730</v>
      </c>
      <c r="N340" s="2" t="s">
        <v>316</v>
      </c>
      <c r="O340" s="2" t="s">
        <v>29</v>
      </c>
      <c r="P340" s="4">
        <v>16000</v>
      </c>
      <c r="Q340" s="4">
        <v>0</v>
      </c>
      <c r="R340" s="4">
        <v>0</v>
      </c>
      <c r="S340"/>
    </row>
    <row r="341" spans="2:19" x14ac:dyDescent="0.25">
      <c r="B341">
        <v>1</v>
      </c>
      <c r="C341" s="2" t="s">
        <v>22</v>
      </c>
      <c r="D341" s="2" t="s">
        <v>817</v>
      </c>
      <c r="E341" s="2" t="s">
        <v>818</v>
      </c>
      <c r="F341" s="2" t="s">
        <v>313</v>
      </c>
      <c r="G341" s="2" t="s">
        <v>17</v>
      </c>
      <c r="H341" s="2" t="s">
        <v>24</v>
      </c>
      <c r="I341" s="21">
        <v>1</v>
      </c>
      <c r="J341" s="1">
        <v>4920</v>
      </c>
      <c r="K341" s="3">
        <v>42944</v>
      </c>
      <c r="L341" s="4"/>
      <c r="M341" s="2" t="s">
        <v>730</v>
      </c>
      <c r="N341" s="2" t="s">
        <v>316</v>
      </c>
      <c r="O341" s="2" t="s">
        <v>29</v>
      </c>
      <c r="P341" s="4">
        <v>16000</v>
      </c>
      <c r="Q341" s="4">
        <v>0</v>
      </c>
      <c r="R341" s="4">
        <v>0</v>
      </c>
      <c r="S341"/>
    </row>
    <row r="342" spans="2:19" x14ac:dyDescent="0.25">
      <c r="B342">
        <v>1</v>
      </c>
      <c r="C342" s="2" t="s">
        <v>22</v>
      </c>
      <c r="D342" s="2" t="s">
        <v>819</v>
      </c>
      <c r="E342" s="2" t="s">
        <v>820</v>
      </c>
      <c r="F342" s="2" t="s">
        <v>313</v>
      </c>
      <c r="G342" s="2" t="s">
        <v>17</v>
      </c>
      <c r="H342" s="2" t="s">
        <v>24</v>
      </c>
      <c r="I342" s="21">
        <v>1</v>
      </c>
      <c r="J342" s="1">
        <v>5809</v>
      </c>
      <c r="K342" s="3">
        <v>42944</v>
      </c>
      <c r="L342" s="4"/>
      <c r="M342" s="2" t="s">
        <v>730</v>
      </c>
      <c r="N342" s="2" t="s">
        <v>316</v>
      </c>
      <c r="O342" s="2" t="s">
        <v>29</v>
      </c>
      <c r="P342" s="4">
        <v>18000</v>
      </c>
      <c r="Q342" s="4">
        <v>0</v>
      </c>
      <c r="R342" s="4">
        <v>0</v>
      </c>
      <c r="S342"/>
    </row>
    <row r="343" spans="2:19" x14ac:dyDescent="0.25">
      <c r="B343">
        <v>1</v>
      </c>
      <c r="C343" s="2" t="s">
        <v>22</v>
      </c>
      <c r="D343" s="2" t="s">
        <v>821</v>
      </c>
      <c r="E343" s="2" t="s">
        <v>822</v>
      </c>
      <c r="F343" s="2" t="s">
        <v>313</v>
      </c>
      <c r="G343" s="2" t="s">
        <v>17</v>
      </c>
      <c r="H343" s="2" t="s">
        <v>24</v>
      </c>
      <c r="I343" s="21">
        <v>1</v>
      </c>
      <c r="J343" s="1">
        <v>6057</v>
      </c>
      <c r="K343" s="3">
        <v>42944</v>
      </c>
      <c r="L343" s="4"/>
      <c r="M343" s="2" t="s">
        <v>730</v>
      </c>
      <c r="N343" s="2" t="s">
        <v>316</v>
      </c>
      <c r="O343" s="2" t="s">
        <v>29</v>
      </c>
      <c r="P343" s="4">
        <v>18000</v>
      </c>
      <c r="Q343" s="4">
        <v>0</v>
      </c>
      <c r="R343" s="4">
        <v>0</v>
      </c>
      <c r="S343"/>
    </row>
    <row r="344" spans="2:19" x14ac:dyDescent="0.25">
      <c r="B344">
        <v>1</v>
      </c>
      <c r="C344" s="2" t="s">
        <v>22</v>
      </c>
      <c r="D344" s="2" t="s">
        <v>823</v>
      </c>
      <c r="E344" s="2" t="s">
        <v>824</v>
      </c>
      <c r="F344" s="2" t="s">
        <v>313</v>
      </c>
      <c r="G344" s="2" t="s">
        <v>17</v>
      </c>
      <c r="H344" s="2" t="s">
        <v>24</v>
      </c>
      <c r="I344" s="21">
        <v>1</v>
      </c>
      <c r="J344" s="1">
        <v>5117</v>
      </c>
      <c r="K344" s="3">
        <v>42944</v>
      </c>
      <c r="L344" s="4"/>
      <c r="M344" s="2" t="s">
        <v>730</v>
      </c>
      <c r="N344" s="2" t="s">
        <v>316</v>
      </c>
      <c r="O344" s="2" t="s">
        <v>29</v>
      </c>
      <c r="P344" s="4">
        <v>17000</v>
      </c>
      <c r="Q344" s="4">
        <v>0</v>
      </c>
      <c r="R344" s="4">
        <v>0</v>
      </c>
      <c r="S344"/>
    </row>
    <row r="345" spans="2:19" x14ac:dyDescent="0.25">
      <c r="B345">
        <v>1</v>
      </c>
      <c r="C345" s="2" t="s">
        <v>22</v>
      </c>
      <c r="D345" s="2" t="s">
        <v>825</v>
      </c>
      <c r="E345" s="2" t="s">
        <v>826</v>
      </c>
      <c r="F345" s="2" t="s">
        <v>313</v>
      </c>
      <c r="G345" s="2" t="s">
        <v>17</v>
      </c>
      <c r="H345" s="2" t="s">
        <v>24</v>
      </c>
      <c r="I345" s="21">
        <v>1</v>
      </c>
      <c r="J345" s="1">
        <v>5074</v>
      </c>
      <c r="K345" s="3">
        <v>42944</v>
      </c>
      <c r="L345" s="4"/>
      <c r="M345" s="2" t="s">
        <v>730</v>
      </c>
      <c r="N345" s="2" t="s">
        <v>316</v>
      </c>
      <c r="O345" s="2" t="s">
        <v>29</v>
      </c>
      <c r="P345" s="4">
        <v>17000</v>
      </c>
      <c r="Q345" s="4">
        <v>0</v>
      </c>
      <c r="R345" s="4">
        <v>0</v>
      </c>
      <c r="S345"/>
    </row>
    <row r="346" spans="2:19" x14ac:dyDescent="0.25">
      <c r="B346">
        <v>1</v>
      </c>
      <c r="C346" s="2" t="s">
        <v>22</v>
      </c>
      <c r="D346" s="2" t="s">
        <v>827</v>
      </c>
      <c r="E346" s="2" t="s">
        <v>828</v>
      </c>
      <c r="F346" s="2" t="s">
        <v>313</v>
      </c>
      <c r="G346" s="2" t="s">
        <v>17</v>
      </c>
      <c r="H346" s="2" t="s">
        <v>24</v>
      </c>
      <c r="I346" s="21">
        <v>1</v>
      </c>
      <c r="J346" s="1">
        <v>5112</v>
      </c>
      <c r="K346" s="3">
        <v>42944</v>
      </c>
      <c r="L346" s="4"/>
      <c r="M346" s="2" t="s">
        <v>730</v>
      </c>
      <c r="N346" s="2" t="s">
        <v>316</v>
      </c>
      <c r="O346" s="2" t="s">
        <v>29</v>
      </c>
      <c r="P346" s="4">
        <v>17000</v>
      </c>
      <c r="Q346" s="4">
        <v>0</v>
      </c>
      <c r="R346" s="4">
        <v>0</v>
      </c>
      <c r="S346"/>
    </row>
    <row r="347" spans="2:19" x14ac:dyDescent="0.25">
      <c r="B347">
        <v>1</v>
      </c>
      <c r="C347" s="2" t="s">
        <v>22</v>
      </c>
      <c r="D347" s="2" t="s">
        <v>829</v>
      </c>
      <c r="E347" s="2" t="s">
        <v>830</v>
      </c>
      <c r="F347" s="2" t="s">
        <v>313</v>
      </c>
      <c r="G347" s="2" t="s">
        <v>17</v>
      </c>
      <c r="H347" s="2" t="s">
        <v>24</v>
      </c>
      <c r="I347" s="21">
        <v>1</v>
      </c>
      <c r="J347" s="1">
        <v>5051</v>
      </c>
      <c r="K347" s="3">
        <v>42944</v>
      </c>
      <c r="L347" s="4"/>
      <c r="M347" s="2" t="s">
        <v>730</v>
      </c>
      <c r="N347" s="2" t="s">
        <v>316</v>
      </c>
      <c r="O347" s="2" t="s">
        <v>29</v>
      </c>
      <c r="P347" s="4">
        <v>17000</v>
      </c>
      <c r="Q347" s="4">
        <v>0</v>
      </c>
      <c r="R347" s="4">
        <v>0</v>
      </c>
      <c r="S347"/>
    </row>
    <row r="348" spans="2:19" x14ac:dyDescent="0.25">
      <c r="B348">
        <v>1</v>
      </c>
      <c r="C348" s="2" t="s">
        <v>22</v>
      </c>
      <c r="D348" s="2" t="s">
        <v>831</v>
      </c>
      <c r="E348" s="2" t="s">
        <v>832</v>
      </c>
      <c r="F348" s="2" t="s">
        <v>313</v>
      </c>
      <c r="G348" s="2" t="s">
        <v>17</v>
      </c>
      <c r="H348" s="2" t="s">
        <v>24</v>
      </c>
      <c r="I348" s="21">
        <v>1</v>
      </c>
      <c r="J348" s="1">
        <v>5068</v>
      </c>
      <c r="K348" s="3">
        <v>42944</v>
      </c>
      <c r="L348" s="4"/>
      <c r="M348" s="2" t="s">
        <v>730</v>
      </c>
      <c r="N348" s="2" t="s">
        <v>316</v>
      </c>
      <c r="O348" s="2" t="s">
        <v>29</v>
      </c>
      <c r="P348" s="4">
        <v>17000</v>
      </c>
      <c r="Q348" s="4">
        <v>0</v>
      </c>
      <c r="R348" s="4">
        <v>0</v>
      </c>
      <c r="S348"/>
    </row>
    <row r="349" spans="2:19" x14ac:dyDescent="0.25">
      <c r="B349">
        <v>1</v>
      </c>
      <c r="C349" s="2" t="s">
        <v>22</v>
      </c>
      <c r="D349" s="2" t="s">
        <v>833</v>
      </c>
      <c r="E349" s="2" t="s">
        <v>834</v>
      </c>
      <c r="F349" s="2" t="s">
        <v>313</v>
      </c>
      <c r="G349" s="2" t="s">
        <v>17</v>
      </c>
      <c r="H349" s="2" t="s">
        <v>24</v>
      </c>
      <c r="I349" s="21">
        <v>1</v>
      </c>
      <c r="J349" s="1">
        <v>5094</v>
      </c>
      <c r="K349" s="3">
        <v>42944</v>
      </c>
      <c r="L349" s="4"/>
      <c r="M349" s="2" t="s">
        <v>730</v>
      </c>
      <c r="N349" s="2" t="s">
        <v>316</v>
      </c>
      <c r="O349" s="2" t="s">
        <v>29</v>
      </c>
      <c r="P349" s="4">
        <v>17000</v>
      </c>
      <c r="Q349" s="4">
        <v>0</v>
      </c>
      <c r="R349" s="4">
        <v>0</v>
      </c>
      <c r="S349"/>
    </row>
    <row r="350" spans="2:19" x14ac:dyDescent="0.25">
      <c r="B350">
        <v>1</v>
      </c>
      <c r="C350" s="2" t="s">
        <v>22</v>
      </c>
      <c r="D350" s="2" t="s">
        <v>835</v>
      </c>
      <c r="E350" s="2" t="s">
        <v>836</v>
      </c>
      <c r="F350" s="2" t="s">
        <v>313</v>
      </c>
      <c r="G350" s="2" t="s">
        <v>17</v>
      </c>
      <c r="H350" s="2" t="s">
        <v>24</v>
      </c>
      <c r="I350" s="21">
        <v>1</v>
      </c>
      <c r="J350" s="1">
        <v>5076</v>
      </c>
      <c r="K350" s="3">
        <v>42944</v>
      </c>
      <c r="L350" s="4"/>
      <c r="M350" s="2" t="s">
        <v>730</v>
      </c>
      <c r="N350" s="2" t="s">
        <v>316</v>
      </c>
      <c r="O350" s="2" t="s">
        <v>29</v>
      </c>
      <c r="P350" s="4">
        <v>17000</v>
      </c>
      <c r="Q350" s="4">
        <v>0</v>
      </c>
      <c r="R350" s="4">
        <v>0</v>
      </c>
      <c r="S350"/>
    </row>
    <row r="351" spans="2:19" x14ac:dyDescent="0.25">
      <c r="B351">
        <v>1</v>
      </c>
      <c r="C351" s="2" t="s">
        <v>22</v>
      </c>
      <c r="D351" s="2" t="s">
        <v>837</v>
      </c>
      <c r="E351" s="2" t="s">
        <v>838</v>
      </c>
      <c r="F351" s="2" t="s">
        <v>313</v>
      </c>
      <c r="G351" s="2" t="s">
        <v>17</v>
      </c>
      <c r="H351" s="2" t="s">
        <v>24</v>
      </c>
      <c r="I351" s="21">
        <v>1</v>
      </c>
      <c r="J351" s="1">
        <v>5050</v>
      </c>
      <c r="K351" s="3">
        <v>42944</v>
      </c>
      <c r="L351" s="4"/>
      <c r="M351" s="2" t="s">
        <v>730</v>
      </c>
      <c r="N351" s="2" t="s">
        <v>316</v>
      </c>
      <c r="O351" s="2" t="s">
        <v>29</v>
      </c>
      <c r="P351" s="4">
        <v>17000</v>
      </c>
      <c r="Q351" s="4">
        <v>0</v>
      </c>
      <c r="R351" s="4">
        <v>0</v>
      </c>
      <c r="S351"/>
    </row>
    <row r="352" spans="2:19" x14ac:dyDescent="0.25">
      <c r="B352">
        <v>1</v>
      </c>
      <c r="C352" s="2" t="s">
        <v>22</v>
      </c>
      <c r="D352" s="2" t="s">
        <v>839</v>
      </c>
      <c r="E352" s="2" t="s">
        <v>840</v>
      </c>
      <c r="F352" s="2" t="s">
        <v>313</v>
      </c>
      <c r="G352" s="2" t="s">
        <v>17</v>
      </c>
      <c r="H352" s="2" t="s">
        <v>24</v>
      </c>
      <c r="I352" s="21">
        <v>1</v>
      </c>
      <c r="J352" s="1">
        <v>6001</v>
      </c>
      <c r="K352" s="3">
        <v>42944</v>
      </c>
      <c r="L352" s="4"/>
      <c r="M352" s="2" t="s">
        <v>730</v>
      </c>
      <c r="N352" s="2" t="s">
        <v>316</v>
      </c>
      <c r="O352" s="2" t="s">
        <v>29</v>
      </c>
      <c r="P352" s="4">
        <v>18000</v>
      </c>
      <c r="Q352" s="4">
        <v>0</v>
      </c>
      <c r="R352" s="4">
        <v>0</v>
      </c>
      <c r="S352"/>
    </row>
    <row r="353" spans="2:19" x14ac:dyDescent="0.25">
      <c r="B353">
        <v>1</v>
      </c>
      <c r="C353" s="2" t="s">
        <v>22</v>
      </c>
      <c r="D353" s="2" t="s">
        <v>841</v>
      </c>
      <c r="E353" s="2" t="s">
        <v>842</v>
      </c>
      <c r="F353" s="2" t="s">
        <v>313</v>
      </c>
      <c r="G353" s="2" t="s">
        <v>17</v>
      </c>
      <c r="H353" s="2" t="s">
        <v>24</v>
      </c>
      <c r="I353" s="21">
        <v>1</v>
      </c>
      <c r="J353" s="1">
        <v>6071</v>
      </c>
      <c r="K353" s="3">
        <v>42944</v>
      </c>
      <c r="L353" s="4"/>
      <c r="M353" s="2" t="s">
        <v>730</v>
      </c>
      <c r="N353" s="2" t="s">
        <v>316</v>
      </c>
      <c r="O353" s="2" t="s">
        <v>29</v>
      </c>
      <c r="P353" s="4">
        <v>18000</v>
      </c>
      <c r="Q353" s="4">
        <v>0</v>
      </c>
      <c r="R353" s="4">
        <v>0</v>
      </c>
      <c r="S353"/>
    </row>
    <row r="354" spans="2:19" x14ac:dyDescent="0.25">
      <c r="B354">
        <v>1</v>
      </c>
      <c r="C354" s="2" t="s">
        <v>22</v>
      </c>
      <c r="D354" s="2" t="s">
        <v>843</v>
      </c>
      <c r="E354" s="2" t="s">
        <v>844</v>
      </c>
      <c r="F354" s="2" t="s">
        <v>313</v>
      </c>
      <c r="G354" s="2" t="s">
        <v>17</v>
      </c>
      <c r="H354" s="2" t="s">
        <v>24</v>
      </c>
      <c r="I354" s="21">
        <v>1</v>
      </c>
      <c r="J354" s="1">
        <v>5081</v>
      </c>
      <c r="K354" s="3">
        <v>42944</v>
      </c>
      <c r="L354" s="4"/>
      <c r="M354" s="2" t="s">
        <v>730</v>
      </c>
      <c r="N354" s="2" t="s">
        <v>316</v>
      </c>
      <c r="O354" s="2" t="s">
        <v>29</v>
      </c>
      <c r="P354" s="4">
        <v>17000</v>
      </c>
      <c r="Q354" s="4">
        <v>0</v>
      </c>
      <c r="R354" s="4">
        <v>0</v>
      </c>
      <c r="S354"/>
    </row>
    <row r="355" spans="2:19" x14ac:dyDescent="0.25">
      <c r="B355">
        <v>1</v>
      </c>
      <c r="C355" s="2" t="s">
        <v>22</v>
      </c>
      <c r="D355" s="2" t="s">
        <v>845</v>
      </c>
      <c r="E355" s="2" t="s">
        <v>846</v>
      </c>
      <c r="F355" s="2" t="s">
        <v>313</v>
      </c>
      <c r="G355" s="2" t="s">
        <v>17</v>
      </c>
      <c r="H355" s="2" t="s">
        <v>24</v>
      </c>
      <c r="I355" s="21">
        <v>1</v>
      </c>
      <c r="J355" s="1">
        <v>5117</v>
      </c>
      <c r="K355" s="3">
        <v>42944</v>
      </c>
      <c r="L355" s="4"/>
      <c r="M355" s="2" t="s">
        <v>730</v>
      </c>
      <c r="N355" s="2" t="s">
        <v>316</v>
      </c>
      <c r="O355" s="2" t="s">
        <v>29</v>
      </c>
      <c r="P355" s="4">
        <v>17000</v>
      </c>
      <c r="Q355" s="4">
        <v>0</v>
      </c>
      <c r="R355" s="4">
        <v>0</v>
      </c>
      <c r="S355"/>
    </row>
    <row r="356" spans="2:19" x14ac:dyDescent="0.25">
      <c r="B356">
        <v>1</v>
      </c>
      <c r="C356" s="2" t="s">
        <v>22</v>
      </c>
      <c r="D356" s="2" t="s">
        <v>847</v>
      </c>
      <c r="E356" s="2" t="s">
        <v>848</v>
      </c>
      <c r="F356" s="2" t="s">
        <v>313</v>
      </c>
      <c r="G356" s="2" t="s">
        <v>17</v>
      </c>
      <c r="H356" s="2" t="s">
        <v>24</v>
      </c>
      <c r="I356" s="21">
        <v>1</v>
      </c>
      <c r="J356" s="1">
        <v>5132</v>
      </c>
      <c r="K356" s="3">
        <v>42944</v>
      </c>
      <c r="L356" s="4"/>
      <c r="M356" s="2" t="s">
        <v>730</v>
      </c>
      <c r="N356" s="2" t="s">
        <v>316</v>
      </c>
      <c r="O356" s="2" t="s">
        <v>29</v>
      </c>
      <c r="P356" s="4">
        <v>17000</v>
      </c>
      <c r="Q356" s="4">
        <v>0</v>
      </c>
      <c r="R356" s="4">
        <v>0</v>
      </c>
      <c r="S356"/>
    </row>
    <row r="357" spans="2:19" x14ac:dyDescent="0.25">
      <c r="B357">
        <v>1</v>
      </c>
      <c r="C357" s="2" t="s">
        <v>22</v>
      </c>
      <c r="D357" s="2" t="s">
        <v>849</v>
      </c>
      <c r="E357" s="2" t="s">
        <v>850</v>
      </c>
      <c r="F357" s="2" t="s">
        <v>313</v>
      </c>
      <c r="G357" s="2" t="s">
        <v>17</v>
      </c>
      <c r="H357" s="2" t="s">
        <v>24</v>
      </c>
      <c r="I357" s="21">
        <v>1</v>
      </c>
      <c r="J357" s="1">
        <v>5061</v>
      </c>
      <c r="K357" s="3">
        <v>42944</v>
      </c>
      <c r="L357" s="4"/>
      <c r="M357" s="2" t="s">
        <v>730</v>
      </c>
      <c r="N357" s="2" t="s">
        <v>316</v>
      </c>
      <c r="O357" s="2" t="s">
        <v>29</v>
      </c>
      <c r="P357" s="4">
        <v>17000</v>
      </c>
      <c r="Q357" s="4">
        <v>0</v>
      </c>
      <c r="R357" s="4">
        <v>0</v>
      </c>
      <c r="S357"/>
    </row>
    <row r="358" spans="2:19" x14ac:dyDescent="0.25">
      <c r="B358">
        <v>1</v>
      </c>
      <c r="C358" s="2" t="s">
        <v>22</v>
      </c>
      <c r="D358" s="2" t="s">
        <v>851</v>
      </c>
      <c r="E358" s="2" t="s">
        <v>852</v>
      </c>
      <c r="F358" s="2" t="s">
        <v>313</v>
      </c>
      <c r="G358" s="2" t="s">
        <v>17</v>
      </c>
      <c r="H358" s="2" t="s">
        <v>24</v>
      </c>
      <c r="I358" s="21">
        <v>1</v>
      </c>
      <c r="J358" s="1">
        <v>5048</v>
      </c>
      <c r="K358" s="3">
        <v>42944</v>
      </c>
      <c r="L358" s="4"/>
      <c r="M358" s="2" t="s">
        <v>730</v>
      </c>
      <c r="N358" s="2" t="s">
        <v>316</v>
      </c>
      <c r="O358" s="2" t="s">
        <v>29</v>
      </c>
      <c r="P358" s="4">
        <v>17000</v>
      </c>
      <c r="Q358" s="4">
        <v>0</v>
      </c>
      <c r="R358" s="4">
        <v>0</v>
      </c>
      <c r="S358"/>
    </row>
    <row r="359" spans="2:19" x14ac:dyDescent="0.25">
      <c r="B359">
        <v>1</v>
      </c>
      <c r="C359" s="2" t="s">
        <v>22</v>
      </c>
      <c r="D359" s="2" t="s">
        <v>853</v>
      </c>
      <c r="E359" s="2" t="s">
        <v>854</v>
      </c>
      <c r="F359" s="2" t="s">
        <v>313</v>
      </c>
      <c r="G359" s="2" t="s">
        <v>17</v>
      </c>
      <c r="H359" s="2" t="s">
        <v>24</v>
      </c>
      <c r="I359" s="21">
        <v>1</v>
      </c>
      <c r="J359" s="1">
        <v>5057</v>
      </c>
      <c r="K359" s="3">
        <v>42944</v>
      </c>
      <c r="L359" s="4"/>
      <c r="M359" s="2" t="s">
        <v>730</v>
      </c>
      <c r="N359" s="2" t="s">
        <v>316</v>
      </c>
      <c r="O359" s="2" t="s">
        <v>29</v>
      </c>
      <c r="P359" s="4">
        <v>17000</v>
      </c>
      <c r="Q359" s="4">
        <v>0</v>
      </c>
      <c r="R359" s="4">
        <v>0</v>
      </c>
      <c r="S359"/>
    </row>
    <row r="360" spans="2:19" x14ac:dyDescent="0.25">
      <c r="B360">
        <v>1</v>
      </c>
      <c r="C360" s="2" t="s">
        <v>22</v>
      </c>
      <c r="D360" s="2" t="s">
        <v>855</v>
      </c>
      <c r="E360" s="2" t="s">
        <v>856</v>
      </c>
      <c r="F360" s="2" t="s">
        <v>313</v>
      </c>
      <c r="G360" s="2" t="s">
        <v>17</v>
      </c>
      <c r="H360" s="2" t="s">
        <v>24</v>
      </c>
      <c r="I360" s="21">
        <v>1</v>
      </c>
      <c r="J360" s="1">
        <v>6031</v>
      </c>
      <c r="K360" s="3">
        <v>42944</v>
      </c>
      <c r="L360" s="4"/>
      <c r="M360" s="2" t="s">
        <v>730</v>
      </c>
      <c r="N360" s="2" t="s">
        <v>316</v>
      </c>
      <c r="O360" s="2" t="s">
        <v>29</v>
      </c>
      <c r="P360" s="4">
        <v>18000</v>
      </c>
      <c r="Q360" s="4">
        <v>0</v>
      </c>
      <c r="R360" s="4">
        <v>0</v>
      </c>
      <c r="S360"/>
    </row>
    <row r="361" spans="2:19" x14ac:dyDescent="0.25">
      <c r="B361">
        <v>1</v>
      </c>
      <c r="C361" s="2" t="s">
        <v>22</v>
      </c>
      <c r="D361" s="2" t="s">
        <v>855</v>
      </c>
      <c r="E361" s="2" t="s">
        <v>856</v>
      </c>
      <c r="F361" s="2" t="s">
        <v>313</v>
      </c>
      <c r="G361" s="2" t="s">
        <v>17</v>
      </c>
      <c r="H361" s="2" t="s">
        <v>24</v>
      </c>
      <c r="I361" s="21">
        <v>1</v>
      </c>
      <c r="J361" s="1">
        <v>6031</v>
      </c>
      <c r="K361" s="3">
        <v>42944</v>
      </c>
      <c r="L361" s="4"/>
      <c r="M361" s="2" t="s">
        <v>316</v>
      </c>
      <c r="N361" s="2" t="s">
        <v>29</v>
      </c>
      <c r="O361" s="2" t="s">
        <v>29</v>
      </c>
      <c r="P361" s="4">
        <v>18000</v>
      </c>
      <c r="Q361" s="4">
        <v>0</v>
      </c>
      <c r="R361" s="4">
        <v>0</v>
      </c>
      <c r="S361"/>
    </row>
    <row r="362" spans="2:19" x14ac:dyDescent="0.25">
      <c r="B362">
        <v>1</v>
      </c>
      <c r="C362" s="2" t="s">
        <v>22</v>
      </c>
      <c r="D362" s="2" t="s">
        <v>857</v>
      </c>
      <c r="E362" s="2" t="s">
        <v>858</v>
      </c>
      <c r="F362" s="2" t="s">
        <v>313</v>
      </c>
      <c r="G362" s="2" t="s">
        <v>17</v>
      </c>
      <c r="H362" s="2" t="s">
        <v>24</v>
      </c>
      <c r="I362" s="21">
        <v>1</v>
      </c>
      <c r="J362" s="1">
        <v>9267</v>
      </c>
      <c r="K362" s="3">
        <v>42944</v>
      </c>
      <c r="L362" s="4"/>
      <c r="M362" s="2" t="s">
        <v>730</v>
      </c>
      <c r="N362" s="2" t="s">
        <v>316</v>
      </c>
      <c r="O362" s="2" t="s">
        <v>29</v>
      </c>
      <c r="P362" s="4">
        <v>23000</v>
      </c>
      <c r="Q362" s="4">
        <v>0</v>
      </c>
      <c r="R362" s="4">
        <v>0</v>
      </c>
      <c r="S362"/>
    </row>
    <row r="363" spans="2:19" x14ac:dyDescent="0.25">
      <c r="B363">
        <v>1</v>
      </c>
      <c r="C363" s="2" t="s">
        <v>22</v>
      </c>
      <c r="D363" s="2" t="s">
        <v>859</v>
      </c>
      <c r="E363" s="2" t="s">
        <v>860</v>
      </c>
      <c r="F363" s="2" t="s">
        <v>313</v>
      </c>
      <c r="G363" s="2" t="s">
        <v>17</v>
      </c>
      <c r="H363" s="2" t="s">
        <v>24</v>
      </c>
      <c r="I363" s="21">
        <v>1</v>
      </c>
      <c r="J363" s="1">
        <v>6571</v>
      </c>
      <c r="K363" s="3">
        <v>42944</v>
      </c>
      <c r="L363" s="4"/>
      <c r="M363" s="2" t="s">
        <v>730</v>
      </c>
      <c r="N363" s="2" t="s">
        <v>316</v>
      </c>
      <c r="O363" s="2" t="s">
        <v>316</v>
      </c>
      <c r="P363" s="4">
        <v>19000</v>
      </c>
      <c r="Q363" s="4">
        <v>0</v>
      </c>
      <c r="R363" s="4">
        <v>0</v>
      </c>
      <c r="S363"/>
    </row>
    <row r="364" spans="2:19" x14ac:dyDescent="0.25">
      <c r="B364">
        <v>1</v>
      </c>
      <c r="C364" s="2" t="s">
        <v>22</v>
      </c>
      <c r="D364" s="2" t="s">
        <v>861</v>
      </c>
      <c r="E364" s="2" t="s">
        <v>862</v>
      </c>
      <c r="F364" s="2" t="s">
        <v>313</v>
      </c>
      <c r="G364" s="2" t="s">
        <v>17</v>
      </c>
      <c r="H364" s="2" t="s">
        <v>24</v>
      </c>
      <c r="I364" s="21">
        <v>1</v>
      </c>
      <c r="J364" s="1">
        <v>6500</v>
      </c>
      <c r="K364" s="3">
        <v>42944</v>
      </c>
      <c r="L364" s="4"/>
      <c r="M364" s="2" t="s">
        <v>730</v>
      </c>
      <c r="N364" s="2" t="s">
        <v>316</v>
      </c>
      <c r="O364" s="2" t="s">
        <v>316</v>
      </c>
      <c r="P364" s="4">
        <v>19000</v>
      </c>
      <c r="Q364" s="4">
        <v>0</v>
      </c>
      <c r="R364" s="4">
        <v>0</v>
      </c>
      <c r="S364"/>
    </row>
    <row r="365" spans="2:19" x14ac:dyDescent="0.25">
      <c r="B365">
        <v>1</v>
      </c>
      <c r="C365" s="2" t="s">
        <v>22</v>
      </c>
      <c r="D365" s="2" t="s">
        <v>863</v>
      </c>
      <c r="E365" s="2" t="s">
        <v>864</v>
      </c>
      <c r="F365" s="2" t="s">
        <v>313</v>
      </c>
      <c r="G365" s="2" t="s">
        <v>17</v>
      </c>
      <c r="H365" s="2" t="s">
        <v>24</v>
      </c>
      <c r="I365" s="21">
        <v>1</v>
      </c>
      <c r="J365" s="1">
        <v>6983</v>
      </c>
      <c r="K365" s="3">
        <v>42944</v>
      </c>
      <c r="L365" s="4"/>
      <c r="M365" s="2" t="s">
        <v>730</v>
      </c>
      <c r="N365" s="2" t="s">
        <v>316</v>
      </c>
      <c r="O365" s="2" t="s">
        <v>316</v>
      </c>
      <c r="P365" s="4">
        <v>20000</v>
      </c>
      <c r="Q365" s="4">
        <v>0</v>
      </c>
      <c r="R365" s="4">
        <v>0</v>
      </c>
      <c r="S365"/>
    </row>
    <row r="366" spans="2:19" x14ac:dyDescent="0.25">
      <c r="B366">
        <v>1</v>
      </c>
      <c r="C366" s="2" t="s">
        <v>22</v>
      </c>
      <c r="D366" s="2" t="s">
        <v>865</v>
      </c>
      <c r="E366" s="2" t="s">
        <v>866</v>
      </c>
      <c r="F366" s="2" t="s">
        <v>313</v>
      </c>
      <c r="G366" s="2" t="s">
        <v>17</v>
      </c>
      <c r="H366" s="2" t="s">
        <v>24</v>
      </c>
      <c r="I366" s="21">
        <v>1</v>
      </c>
      <c r="J366" s="1">
        <v>6993</v>
      </c>
      <c r="K366" s="3">
        <v>42944</v>
      </c>
      <c r="L366" s="4"/>
      <c r="M366" s="2" t="s">
        <v>730</v>
      </c>
      <c r="N366" s="2" t="s">
        <v>316</v>
      </c>
      <c r="O366" s="2" t="s">
        <v>316</v>
      </c>
      <c r="P366" s="4">
        <v>20000</v>
      </c>
      <c r="Q366" s="4">
        <v>0</v>
      </c>
      <c r="R366" s="4">
        <v>0</v>
      </c>
      <c r="S366"/>
    </row>
    <row r="367" spans="2:19" x14ac:dyDescent="0.25">
      <c r="B367">
        <v>1</v>
      </c>
      <c r="C367" s="2" t="s">
        <v>22</v>
      </c>
      <c r="D367" s="2" t="s">
        <v>867</v>
      </c>
      <c r="E367" s="2" t="s">
        <v>868</v>
      </c>
      <c r="F367" s="2" t="s">
        <v>313</v>
      </c>
      <c r="G367" s="2" t="s">
        <v>17</v>
      </c>
      <c r="H367" s="2" t="s">
        <v>24</v>
      </c>
      <c r="I367" s="21">
        <v>1</v>
      </c>
      <c r="J367" s="1">
        <v>7043</v>
      </c>
      <c r="K367" s="3">
        <v>42944</v>
      </c>
      <c r="L367" s="4"/>
      <c r="M367" s="2" t="s">
        <v>730</v>
      </c>
      <c r="N367" s="2" t="s">
        <v>316</v>
      </c>
      <c r="O367" s="2" t="s">
        <v>316</v>
      </c>
      <c r="P367" s="4">
        <v>20000</v>
      </c>
      <c r="Q367" s="4">
        <v>0</v>
      </c>
      <c r="R367" s="4">
        <v>0</v>
      </c>
      <c r="S367"/>
    </row>
    <row r="368" spans="2:19" x14ac:dyDescent="0.25">
      <c r="B368">
        <v>1</v>
      </c>
      <c r="C368" s="2" t="s">
        <v>22</v>
      </c>
      <c r="D368" s="2" t="s">
        <v>869</v>
      </c>
      <c r="E368" s="2" t="s">
        <v>870</v>
      </c>
      <c r="F368" s="2" t="s">
        <v>313</v>
      </c>
      <c r="G368" s="2" t="s">
        <v>17</v>
      </c>
      <c r="H368" s="2" t="s">
        <v>24</v>
      </c>
      <c r="I368" s="21">
        <v>1</v>
      </c>
      <c r="J368" s="1">
        <v>6994</v>
      </c>
      <c r="K368" s="3">
        <v>42944</v>
      </c>
      <c r="L368" s="4"/>
      <c r="M368" s="2" t="s">
        <v>730</v>
      </c>
      <c r="N368" s="2" t="s">
        <v>316</v>
      </c>
      <c r="O368" s="2" t="s">
        <v>316</v>
      </c>
      <c r="P368" s="4">
        <v>20000</v>
      </c>
      <c r="Q368" s="4">
        <v>0</v>
      </c>
      <c r="R368" s="4">
        <v>0</v>
      </c>
      <c r="S368"/>
    </row>
    <row r="369" spans="2:19" x14ac:dyDescent="0.25">
      <c r="B369">
        <v>1</v>
      </c>
      <c r="C369" s="2" t="s">
        <v>22</v>
      </c>
      <c r="D369" s="2" t="s">
        <v>871</v>
      </c>
      <c r="E369" s="2" t="s">
        <v>872</v>
      </c>
      <c r="F369" s="2" t="s">
        <v>313</v>
      </c>
      <c r="G369" s="2" t="s">
        <v>17</v>
      </c>
      <c r="H369" s="2" t="s">
        <v>24</v>
      </c>
      <c r="I369" s="21">
        <v>1</v>
      </c>
      <c r="J369" s="1">
        <v>7065</v>
      </c>
      <c r="K369" s="3">
        <v>42944</v>
      </c>
      <c r="L369" s="4"/>
      <c r="M369" s="2" t="s">
        <v>730</v>
      </c>
      <c r="N369" s="2" t="s">
        <v>316</v>
      </c>
      <c r="O369" s="2" t="s">
        <v>316</v>
      </c>
      <c r="P369" s="4">
        <v>20000</v>
      </c>
      <c r="Q369" s="4">
        <v>0</v>
      </c>
      <c r="R369" s="4">
        <v>0</v>
      </c>
      <c r="S369"/>
    </row>
    <row r="370" spans="2:19" x14ac:dyDescent="0.25">
      <c r="B370">
        <v>1</v>
      </c>
      <c r="C370" s="2" t="s">
        <v>22</v>
      </c>
      <c r="D370" s="2" t="s">
        <v>873</v>
      </c>
      <c r="E370" s="2" t="s">
        <v>874</v>
      </c>
      <c r="F370" s="2" t="s">
        <v>313</v>
      </c>
      <c r="G370" s="2" t="s">
        <v>17</v>
      </c>
      <c r="H370" s="2" t="s">
        <v>24</v>
      </c>
      <c r="I370" s="21">
        <v>1</v>
      </c>
      <c r="J370" s="1">
        <v>6978</v>
      </c>
      <c r="K370" s="3">
        <v>42944</v>
      </c>
      <c r="L370" s="4"/>
      <c r="M370" s="2" t="s">
        <v>730</v>
      </c>
      <c r="N370" s="2" t="s">
        <v>316</v>
      </c>
      <c r="O370" s="2" t="s">
        <v>316</v>
      </c>
      <c r="P370" s="4">
        <v>20000</v>
      </c>
      <c r="Q370" s="4">
        <v>0</v>
      </c>
      <c r="R370" s="4">
        <v>0</v>
      </c>
      <c r="S370"/>
    </row>
    <row r="371" spans="2:19" x14ac:dyDescent="0.25">
      <c r="B371">
        <v>1</v>
      </c>
      <c r="C371" s="2" t="s">
        <v>22</v>
      </c>
      <c r="D371" s="2" t="s">
        <v>875</v>
      </c>
      <c r="E371" s="2" t="s">
        <v>876</v>
      </c>
      <c r="F371" s="2" t="s">
        <v>313</v>
      </c>
      <c r="G371" s="2" t="s">
        <v>17</v>
      </c>
      <c r="H371" s="2" t="s">
        <v>24</v>
      </c>
      <c r="I371" s="21">
        <v>1</v>
      </c>
      <c r="J371" s="1">
        <v>7058</v>
      </c>
      <c r="K371" s="3">
        <v>42944</v>
      </c>
      <c r="L371" s="4"/>
      <c r="M371" s="2" t="s">
        <v>730</v>
      </c>
      <c r="N371" s="2" t="s">
        <v>316</v>
      </c>
      <c r="O371" s="2" t="s">
        <v>316</v>
      </c>
      <c r="P371" s="4">
        <v>20000</v>
      </c>
      <c r="Q371" s="4">
        <v>0</v>
      </c>
      <c r="R371" s="4">
        <v>0</v>
      </c>
      <c r="S371"/>
    </row>
    <row r="372" spans="2:19" x14ac:dyDescent="0.25">
      <c r="B372">
        <v>1</v>
      </c>
      <c r="C372" s="2" t="s">
        <v>22</v>
      </c>
      <c r="D372" s="2" t="s">
        <v>877</v>
      </c>
      <c r="E372" s="2" t="s">
        <v>878</v>
      </c>
      <c r="F372" s="2" t="s">
        <v>313</v>
      </c>
      <c r="G372" s="2" t="s">
        <v>17</v>
      </c>
      <c r="H372" s="2" t="s">
        <v>24</v>
      </c>
      <c r="I372" s="21">
        <v>1</v>
      </c>
      <c r="J372" s="1">
        <v>6926</v>
      </c>
      <c r="K372" s="3">
        <v>42944</v>
      </c>
      <c r="L372" s="4"/>
      <c r="M372" s="2" t="s">
        <v>730</v>
      </c>
      <c r="N372" s="2" t="s">
        <v>316</v>
      </c>
      <c r="O372" s="2" t="s">
        <v>316</v>
      </c>
      <c r="P372" s="4">
        <v>20000</v>
      </c>
      <c r="Q372" s="4">
        <v>0</v>
      </c>
      <c r="R372" s="4">
        <v>0</v>
      </c>
      <c r="S372"/>
    </row>
    <row r="373" spans="2:19" x14ac:dyDescent="0.25">
      <c r="B373">
        <v>1</v>
      </c>
      <c r="C373" s="2" t="s">
        <v>22</v>
      </c>
      <c r="D373" s="2" t="s">
        <v>879</v>
      </c>
      <c r="E373" s="2" t="s">
        <v>880</v>
      </c>
      <c r="F373" s="2" t="s">
        <v>313</v>
      </c>
      <c r="G373" s="2" t="s">
        <v>17</v>
      </c>
      <c r="H373" s="2" t="s">
        <v>24</v>
      </c>
      <c r="I373" s="21">
        <v>1</v>
      </c>
      <c r="J373" s="1">
        <v>6341</v>
      </c>
      <c r="K373" s="3">
        <v>42944</v>
      </c>
      <c r="L373" s="4"/>
      <c r="M373" s="2" t="s">
        <v>730</v>
      </c>
      <c r="N373" s="2" t="s">
        <v>316</v>
      </c>
      <c r="O373" s="2" t="s">
        <v>316</v>
      </c>
      <c r="P373" s="4">
        <v>19000</v>
      </c>
      <c r="Q373" s="4">
        <v>0</v>
      </c>
      <c r="R373" s="4">
        <v>0</v>
      </c>
      <c r="S373"/>
    </row>
    <row r="374" spans="2:19" x14ac:dyDescent="0.25">
      <c r="B374">
        <v>1</v>
      </c>
      <c r="C374" s="2" t="s">
        <v>22</v>
      </c>
      <c r="D374" s="2" t="s">
        <v>296</v>
      </c>
      <c r="E374" s="2" t="s">
        <v>297</v>
      </c>
      <c r="F374" s="2" t="s">
        <v>298</v>
      </c>
      <c r="G374" s="2" t="s">
        <v>17</v>
      </c>
      <c r="H374" s="2" t="s">
        <v>18</v>
      </c>
      <c r="I374" s="21">
        <v>1</v>
      </c>
      <c r="J374" s="1">
        <v>9496</v>
      </c>
      <c r="K374" s="3">
        <v>42947</v>
      </c>
      <c r="L374" s="4">
        <v>140000</v>
      </c>
      <c r="M374" s="2" t="s">
        <v>300</v>
      </c>
      <c r="N374" s="2" t="s">
        <v>301</v>
      </c>
      <c r="O374" s="2" t="s">
        <v>301</v>
      </c>
      <c r="P374" s="4">
        <v>106000</v>
      </c>
      <c r="Q374" s="4">
        <v>0</v>
      </c>
      <c r="R374" s="4">
        <v>0</v>
      </c>
      <c r="S374"/>
    </row>
    <row r="375" spans="2:19" x14ac:dyDescent="0.25">
      <c r="B375">
        <v>1</v>
      </c>
      <c r="C375" s="2" t="s">
        <v>22</v>
      </c>
      <c r="D375" s="2" t="s">
        <v>881</v>
      </c>
      <c r="E375" s="2" t="s">
        <v>882</v>
      </c>
      <c r="F375" s="2" t="s">
        <v>150</v>
      </c>
      <c r="G375" s="2" t="s">
        <v>14</v>
      </c>
      <c r="H375" s="2" t="s">
        <v>15</v>
      </c>
      <c r="I375" s="21">
        <v>1</v>
      </c>
      <c r="J375" s="1">
        <v>5970</v>
      </c>
      <c r="K375" s="3">
        <v>42948</v>
      </c>
      <c r="L375" s="4">
        <v>240000</v>
      </c>
      <c r="M375" s="2" t="s">
        <v>151</v>
      </c>
      <c r="N375" s="2" t="s">
        <v>152</v>
      </c>
      <c r="O375" s="2" t="s">
        <v>883</v>
      </c>
      <c r="P375" s="4">
        <v>50000</v>
      </c>
      <c r="Q375" s="4">
        <v>0</v>
      </c>
      <c r="R375" s="4">
        <v>0</v>
      </c>
      <c r="S375"/>
    </row>
    <row r="376" spans="2:19" x14ac:dyDescent="0.25">
      <c r="B376">
        <v>1</v>
      </c>
      <c r="C376" s="2" t="s">
        <v>22</v>
      </c>
      <c r="D376" s="2" t="s">
        <v>884</v>
      </c>
      <c r="E376" s="2" t="s">
        <v>885</v>
      </c>
      <c r="F376" s="2" t="s">
        <v>150</v>
      </c>
      <c r="G376" s="2" t="s">
        <v>14</v>
      </c>
      <c r="H376" s="2" t="s">
        <v>15</v>
      </c>
      <c r="I376" s="21">
        <v>1</v>
      </c>
      <c r="J376" s="1">
        <v>7701</v>
      </c>
      <c r="K376" s="3">
        <v>42948</v>
      </c>
      <c r="L376" s="4">
        <v>240000</v>
      </c>
      <c r="M376" s="2" t="s">
        <v>151</v>
      </c>
      <c r="N376" s="2" t="s">
        <v>152</v>
      </c>
      <c r="O376" s="2" t="s">
        <v>886</v>
      </c>
      <c r="P376" s="4">
        <v>57000</v>
      </c>
      <c r="Q376" s="4">
        <v>0</v>
      </c>
      <c r="R376" s="4">
        <v>0</v>
      </c>
      <c r="S376"/>
    </row>
    <row r="377" spans="2:19" x14ac:dyDescent="0.25">
      <c r="B377">
        <v>1</v>
      </c>
      <c r="C377" s="2" t="s">
        <v>22</v>
      </c>
      <c r="D377" s="2" t="s">
        <v>887</v>
      </c>
      <c r="E377" s="2" t="s">
        <v>888</v>
      </c>
      <c r="F377" s="2" t="s">
        <v>150</v>
      </c>
      <c r="G377" s="2" t="s">
        <v>14</v>
      </c>
      <c r="H377" s="2" t="s">
        <v>15</v>
      </c>
      <c r="I377" s="21">
        <v>1</v>
      </c>
      <c r="J377" s="1">
        <v>5508</v>
      </c>
      <c r="K377" s="3">
        <v>42948</v>
      </c>
      <c r="L377" s="4">
        <v>240000</v>
      </c>
      <c r="M377" s="2" t="s">
        <v>151</v>
      </c>
      <c r="N377" s="2" t="s">
        <v>152</v>
      </c>
      <c r="O377" s="2" t="s">
        <v>889</v>
      </c>
      <c r="P377" s="4">
        <v>47000</v>
      </c>
      <c r="Q377" s="4">
        <v>0</v>
      </c>
      <c r="R377" s="4">
        <v>0</v>
      </c>
      <c r="S377"/>
    </row>
    <row r="378" spans="2:19" x14ac:dyDescent="0.25">
      <c r="B378">
        <v>1</v>
      </c>
      <c r="C378" s="2" t="s">
        <v>22</v>
      </c>
      <c r="D378" s="2" t="s">
        <v>890</v>
      </c>
      <c r="E378" s="2" t="s">
        <v>891</v>
      </c>
      <c r="F378" s="2" t="s">
        <v>268</v>
      </c>
      <c r="G378" s="2" t="s">
        <v>14</v>
      </c>
      <c r="H378" s="2" t="s">
        <v>15</v>
      </c>
      <c r="I378" s="21">
        <v>1</v>
      </c>
      <c r="J378" s="1">
        <v>11808</v>
      </c>
      <c r="K378" s="3">
        <v>42951</v>
      </c>
      <c r="L378" s="4">
        <v>199000</v>
      </c>
      <c r="M378" s="2" t="s">
        <v>269</v>
      </c>
      <c r="N378" s="2" t="s">
        <v>270</v>
      </c>
      <c r="O378" s="2" t="s">
        <v>892</v>
      </c>
      <c r="P378" s="4">
        <v>47000</v>
      </c>
      <c r="Q378" s="4">
        <v>0</v>
      </c>
      <c r="R378" s="4">
        <v>0</v>
      </c>
      <c r="S378"/>
    </row>
    <row r="379" spans="2:19" x14ac:dyDescent="0.25">
      <c r="B379">
        <v>1</v>
      </c>
      <c r="C379" s="2" t="s">
        <v>22</v>
      </c>
      <c r="D379" s="2" t="s">
        <v>890</v>
      </c>
      <c r="E379" s="2" t="s">
        <v>891</v>
      </c>
      <c r="F379" s="2" t="s">
        <v>268</v>
      </c>
      <c r="G379" s="2" t="s">
        <v>14</v>
      </c>
      <c r="H379" s="2" t="s">
        <v>15</v>
      </c>
      <c r="I379" s="21">
        <v>1</v>
      </c>
      <c r="J379" s="1">
        <v>11808</v>
      </c>
      <c r="K379" s="3">
        <v>42951</v>
      </c>
      <c r="L379" s="4">
        <v>250000</v>
      </c>
      <c r="M379" s="2" t="s">
        <v>270</v>
      </c>
      <c r="N379" s="2" t="s">
        <v>892</v>
      </c>
      <c r="O379" s="2" t="s">
        <v>892</v>
      </c>
      <c r="P379" s="4">
        <v>47000</v>
      </c>
      <c r="Q379" s="4">
        <v>0</v>
      </c>
      <c r="R379" s="4">
        <v>0</v>
      </c>
      <c r="S379"/>
    </row>
    <row r="380" spans="2:19" x14ac:dyDescent="0.25">
      <c r="B380">
        <v>1</v>
      </c>
      <c r="C380" s="2" t="s">
        <v>22</v>
      </c>
      <c r="D380" s="2" t="s">
        <v>148</v>
      </c>
      <c r="E380" s="2" t="s">
        <v>149</v>
      </c>
      <c r="F380" s="2" t="s">
        <v>150</v>
      </c>
      <c r="G380" s="2" t="s">
        <v>14</v>
      </c>
      <c r="H380" s="2" t="s">
        <v>15</v>
      </c>
      <c r="I380" s="21">
        <v>1</v>
      </c>
      <c r="J380" s="1">
        <v>6131</v>
      </c>
      <c r="K380" s="3">
        <v>42954</v>
      </c>
      <c r="L380" s="4">
        <v>522500</v>
      </c>
      <c r="M380" s="2" t="s">
        <v>151</v>
      </c>
      <c r="N380" s="2" t="s">
        <v>893</v>
      </c>
      <c r="O380" s="2" t="s">
        <v>153</v>
      </c>
      <c r="P380" s="4">
        <v>50000</v>
      </c>
      <c r="Q380" s="4">
        <v>0</v>
      </c>
      <c r="R380" s="4">
        <v>0</v>
      </c>
      <c r="S380"/>
    </row>
    <row r="381" spans="2:19" x14ac:dyDescent="0.25">
      <c r="B381">
        <v>1</v>
      </c>
      <c r="C381" s="2" t="s">
        <v>22</v>
      </c>
      <c r="D381" s="2" t="s">
        <v>898</v>
      </c>
      <c r="E381" s="2" t="s">
        <v>899</v>
      </c>
      <c r="F381" s="2" t="s">
        <v>132</v>
      </c>
      <c r="G381" s="2" t="s">
        <v>14</v>
      </c>
      <c r="H381" s="2" t="s">
        <v>15</v>
      </c>
      <c r="I381" s="21">
        <v>1</v>
      </c>
      <c r="J381" s="1">
        <v>9538</v>
      </c>
      <c r="K381" s="3">
        <v>42963</v>
      </c>
      <c r="L381" s="4">
        <v>423900</v>
      </c>
      <c r="M381" s="2" t="s">
        <v>900</v>
      </c>
      <c r="N381" s="2" t="s">
        <v>901</v>
      </c>
      <c r="O381" s="2" t="s">
        <v>901</v>
      </c>
      <c r="P381" s="4">
        <v>74000</v>
      </c>
      <c r="Q381" s="4">
        <v>0</v>
      </c>
      <c r="R381" s="4">
        <v>0</v>
      </c>
      <c r="S381"/>
    </row>
    <row r="382" spans="2:19" x14ac:dyDescent="0.25">
      <c r="B382">
        <v>1</v>
      </c>
      <c r="C382" s="2" t="s">
        <v>22</v>
      </c>
      <c r="D382" s="2" t="s">
        <v>179</v>
      </c>
      <c r="E382" s="2" t="s">
        <v>180</v>
      </c>
      <c r="F382" s="2" t="s">
        <v>150</v>
      </c>
      <c r="G382" s="2" t="s">
        <v>14</v>
      </c>
      <c r="H382" s="2" t="s">
        <v>15</v>
      </c>
      <c r="I382" s="21">
        <v>1</v>
      </c>
      <c r="J382" s="1">
        <v>5107</v>
      </c>
      <c r="K382" s="3">
        <v>42964</v>
      </c>
      <c r="L382" s="4">
        <v>424300</v>
      </c>
      <c r="M382" s="2" t="s">
        <v>152</v>
      </c>
      <c r="N382" s="2" t="s">
        <v>181</v>
      </c>
      <c r="O382" s="2" t="s">
        <v>181</v>
      </c>
      <c r="P382" s="4">
        <v>46000</v>
      </c>
      <c r="Q382" s="4">
        <v>0</v>
      </c>
      <c r="R382" s="4">
        <v>0</v>
      </c>
      <c r="S382"/>
    </row>
    <row r="383" spans="2:19" x14ac:dyDescent="0.25">
      <c r="B383">
        <v>1</v>
      </c>
      <c r="C383" s="2" t="s">
        <v>22</v>
      </c>
      <c r="D383" s="2" t="s">
        <v>902</v>
      </c>
      <c r="E383" s="2" t="s">
        <v>903</v>
      </c>
      <c r="F383" s="2" t="s">
        <v>904</v>
      </c>
      <c r="G383" s="2" t="s">
        <v>14</v>
      </c>
      <c r="H383" s="2" t="s">
        <v>15</v>
      </c>
      <c r="I383" s="21">
        <v>1</v>
      </c>
      <c r="J383" s="1">
        <v>6989</v>
      </c>
      <c r="K383" s="3">
        <v>42968</v>
      </c>
      <c r="L383" s="4">
        <v>939600</v>
      </c>
      <c r="M383" s="2" t="s">
        <v>905</v>
      </c>
      <c r="N383" s="2" t="s">
        <v>906</v>
      </c>
      <c r="O383" s="2" t="s">
        <v>906</v>
      </c>
      <c r="P383" s="4">
        <v>174000</v>
      </c>
      <c r="Q383" s="4">
        <v>0</v>
      </c>
      <c r="R383" s="4">
        <v>0</v>
      </c>
      <c r="S383"/>
    </row>
    <row r="384" spans="2:19" x14ac:dyDescent="0.25">
      <c r="B384">
        <v>1</v>
      </c>
      <c r="C384" s="2" t="s">
        <v>22</v>
      </c>
      <c r="D384" s="2" t="s">
        <v>907</v>
      </c>
      <c r="E384" s="2" t="s">
        <v>908</v>
      </c>
      <c r="F384" s="2" t="s">
        <v>304</v>
      </c>
      <c r="G384" s="2" t="s">
        <v>14</v>
      </c>
      <c r="H384" s="2" t="s">
        <v>15</v>
      </c>
      <c r="I384" s="21">
        <v>1</v>
      </c>
      <c r="J384" s="1">
        <v>4656</v>
      </c>
      <c r="K384" s="3">
        <v>42972</v>
      </c>
      <c r="L384" s="4">
        <v>428200</v>
      </c>
      <c r="M384" s="2" t="s">
        <v>909</v>
      </c>
      <c r="N384" s="2" t="s">
        <v>910</v>
      </c>
      <c r="O384" s="2" t="s">
        <v>910</v>
      </c>
      <c r="P384" s="4">
        <v>49000</v>
      </c>
      <c r="Q384" s="4">
        <v>0</v>
      </c>
      <c r="R384" s="4">
        <v>0</v>
      </c>
      <c r="S384"/>
    </row>
    <row r="385" spans="2:19" x14ac:dyDescent="0.25">
      <c r="B385">
        <v>1</v>
      </c>
      <c r="C385" s="2" t="s">
        <v>22</v>
      </c>
      <c r="D385" s="2" t="s">
        <v>911</v>
      </c>
      <c r="E385" s="2" t="s">
        <v>912</v>
      </c>
      <c r="F385" s="2" t="s">
        <v>913</v>
      </c>
      <c r="G385" s="2" t="s">
        <v>14</v>
      </c>
      <c r="H385" s="2" t="s">
        <v>15</v>
      </c>
      <c r="I385" s="21">
        <v>1</v>
      </c>
      <c r="J385" s="1">
        <v>4048</v>
      </c>
      <c r="K385" s="3">
        <v>42976</v>
      </c>
      <c r="L385" s="4">
        <v>676700</v>
      </c>
      <c r="M385" s="2" t="s">
        <v>914</v>
      </c>
      <c r="N385" s="2" t="s">
        <v>915</v>
      </c>
      <c r="O385" s="2" t="s">
        <v>916</v>
      </c>
      <c r="P385" s="4">
        <v>69000</v>
      </c>
      <c r="Q385" s="4">
        <v>0</v>
      </c>
      <c r="R385" s="4">
        <v>0</v>
      </c>
      <c r="S385"/>
    </row>
    <row r="386" spans="2:19" x14ac:dyDescent="0.25">
      <c r="B386">
        <v>1</v>
      </c>
      <c r="C386" s="2" t="s">
        <v>22</v>
      </c>
      <c r="D386" s="2" t="s">
        <v>176</v>
      </c>
      <c r="E386" s="2" t="s">
        <v>177</v>
      </c>
      <c r="F386" s="2" t="s">
        <v>150</v>
      </c>
      <c r="G386" s="2" t="s">
        <v>14</v>
      </c>
      <c r="H386" s="2" t="s">
        <v>15</v>
      </c>
      <c r="I386" s="21">
        <v>1</v>
      </c>
      <c r="J386" s="1">
        <v>5062</v>
      </c>
      <c r="K386" s="3">
        <v>42976</v>
      </c>
      <c r="L386" s="4">
        <v>417000</v>
      </c>
      <c r="M386" s="2" t="s">
        <v>152</v>
      </c>
      <c r="N386" s="2" t="s">
        <v>178</v>
      </c>
      <c r="O386" s="2" t="s">
        <v>178</v>
      </c>
      <c r="P386" s="4">
        <v>46000</v>
      </c>
      <c r="Q386" s="4">
        <v>0</v>
      </c>
      <c r="R386" s="4">
        <v>0</v>
      </c>
      <c r="S386"/>
    </row>
    <row r="387" spans="2:19" x14ac:dyDescent="0.25">
      <c r="B387">
        <v>1</v>
      </c>
      <c r="C387" s="2" t="s">
        <v>22</v>
      </c>
      <c r="D387" s="2" t="s">
        <v>917</v>
      </c>
      <c r="E387" s="2" t="s">
        <v>918</v>
      </c>
      <c r="F387" s="2" t="s">
        <v>106</v>
      </c>
      <c r="G387" s="2" t="s">
        <v>14</v>
      </c>
      <c r="H387" s="2" t="s">
        <v>15</v>
      </c>
      <c r="I387" s="21">
        <v>1</v>
      </c>
      <c r="J387" s="1">
        <v>2720</v>
      </c>
      <c r="K387" s="3">
        <v>42977</v>
      </c>
      <c r="L387" s="4">
        <v>732200</v>
      </c>
      <c r="M387" s="2" t="s">
        <v>919</v>
      </c>
      <c r="N387" s="2" t="s">
        <v>920</v>
      </c>
      <c r="O387" s="2" t="s">
        <v>920</v>
      </c>
      <c r="P387" s="4">
        <v>75000</v>
      </c>
      <c r="Q387" s="4">
        <v>0</v>
      </c>
      <c r="R387" s="4">
        <v>0</v>
      </c>
      <c r="S387"/>
    </row>
    <row r="388" spans="2:19" x14ac:dyDescent="0.25">
      <c r="B388">
        <v>1</v>
      </c>
      <c r="C388" s="2" t="s">
        <v>22</v>
      </c>
      <c r="D388" s="2" t="s">
        <v>921</v>
      </c>
      <c r="E388" s="2" t="s">
        <v>922</v>
      </c>
      <c r="F388" s="2" t="s">
        <v>268</v>
      </c>
      <c r="G388" s="2" t="s">
        <v>14</v>
      </c>
      <c r="H388" s="2" t="s">
        <v>15</v>
      </c>
      <c r="I388" s="21">
        <v>1</v>
      </c>
      <c r="J388" s="1">
        <v>8194</v>
      </c>
      <c r="K388" s="3">
        <v>42977</v>
      </c>
      <c r="L388" s="4">
        <v>632800</v>
      </c>
      <c r="M388" s="2" t="s">
        <v>269</v>
      </c>
      <c r="N388" s="2" t="s">
        <v>923</v>
      </c>
      <c r="O388" s="2" t="s">
        <v>923</v>
      </c>
      <c r="P388" s="4">
        <v>38000</v>
      </c>
      <c r="Q388" s="4">
        <v>0</v>
      </c>
      <c r="R388" s="4">
        <v>0</v>
      </c>
      <c r="S388"/>
    </row>
    <row r="389" spans="2:19" x14ac:dyDescent="0.25">
      <c r="B389">
        <v>1</v>
      </c>
      <c r="C389" s="2" t="s">
        <v>22</v>
      </c>
      <c r="D389" s="2" t="s">
        <v>925</v>
      </c>
      <c r="E389" s="2" t="s">
        <v>926</v>
      </c>
      <c r="F389" s="2" t="s">
        <v>268</v>
      </c>
      <c r="G389" s="2" t="s">
        <v>17</v>
      </c>
      <c r="H389" s="2" t="s">
        <v>24</v>
      </c>
      <c r="I389" s="21">
        <v>1</v>
      </c>
      <c r="J389" s="1">
        <v>11805</v>
      </c>
      <c r="K389" s="3">
        <v>42978</v>
      </c>
      <c r="L389" s="4">
        <v>199000</v>
      </c>
      <c r="M389" s="2" t="s">
        <v>269</v>
      </c>
      <c r="N389" s="2" t="s">
        <v>270</v>
      </c>
      <c r="O389" s="2" t="s">
        <v>927</v>
      </c>
      <c r="P389" s="4">
        <v>47000</v>
      </c>
      <c r="Q389" s="4">
        <v>0</v>
      </c>
      <c r="R389" s="4">
        <v>0</v>
      </c>
      <c r="S389"/>
    </row>
    <row r="390" spans="2:19" x14ac:dyDescent="0.25">
      <c r="B390">
        <v>1</v>
      </c>
      <c r="C390" s="2" t="s">
        <v>22</v>
      </c>
      <c r="D390" s="2" t="s">
        <v>925</v>
      </c>
      <c r="E390" s="2" t="s">
        <v>926</v>
      </c>
      <c r="F390" s="2" t="s">
        <v>268</v>
      </c>
      <c r="G390" s="2" t="s">
        <v>17</v>
      </c>
      <c r="H390" s="2" t="s">
        <v>24</v>
      </c>
      <c r="I390" s="21">
        <v>1</v>
      </c>
      <c r="J390" s="1">
        <v>11805</v>
      </c>
      <c r="K390" s="3">
        <v>42978</v>
      </c>
      <c r="L390" s="4">
        <v>250000</v>
      </c>
      <c r="M390" s="2" t="s">
        <v>270</v>
      </c>
      <c r="N390" s="2" t="s">
        <v>927</v>
      </c>
      <c r="O390" s="2" t="s">
        <v>927</v>
      </c>
      <c r="P390" s="4">
        <v>47000</v>
      </c>
      <c r="Q390" s="4">
        <v>0</v>
      </c>
      <c r="R390" s="4">
        <v>0</v>
      </c>
      <c r="S390"/>
    </row>
    <row r="391" spans="2:19" x14ac:dyDescent="0.25">
      <c r="B391">
        <v>1</v>
      </c>
      <c r="C391" s="2" t="s">
        <v>22</v>
      </c>
      <c r="D391" s="2" t="s">
        <v>928</v>
      </c>
      <c r="E391" s="2" t="s">
        <v>929</v>
      </c>
      <c r="F391" s="2" t="s">
        <v>106</v>
      </c>
      <c r="G391" s="2" t="s">
        <v>17</v>
      </c>
      <c r="H391" s="2" t="s">
        <v>24</v>
      </c>
      <c r="I391" s="21">
        <v>1</v>
      </c>
      <c r="J391" s="1">
        <v>5788</v>
      </c>
      <c r="K391" s="3">
        <v>42979</v>
      </c>
      <c r="L391" s="4">
        <v>250000</v>
      </c>
      <c r="M391" s="2" t="s">
        <v>174</v>
      </c>
      <c r="N391" s="2" t="s">
        <v>930</v>
      </c>
      <c r="O391" s="2" t="s">
        <v>930</v>
      </c>
      <c r="P391" s="4">
        <v>109000</v>
      </c>
      <c r="Q391" s="4">
        <v>0</v>
      </c>
      <c r="R391" s="4">
        <v>0</v>
      </c>
      <c r="S391"/>
    </row>
    <row r="392" spans="2:19" x14ac:dyDescent="0.25">
      <c r="B392">
        <v>1</v>
      </c>
      <c r="C392" s="2" t="s">
        <v>22</v>
      </c>
      <c r="D392" s="2" t="s">
        <v>931</v>
      </c>
      <c r="E392" s="2" t="s">
        <v>932</v>
      </c>
      <c r="F392" s="2" t="s">
        <v>913</v>
      </c>
      <c r="G392" s="2" t="s">
        <v>14</v>
      </c>
      <c r="H392" s="2" t="s">
        <v>15</v>
      </c>
      <c r="I392" s="21">
        <v>1</v>
      </c>
      <c r="J392" s="1">
        <v>4498</v>
      </c>
      <c r="K392" s="3">
        <v>42984</v>
      </c>
      <c r="L392" s="4">
        <v>678000</v>
      </c>
      <c r="M392" s="2" t="s">
        <v>914</v>
      </c>
      <c r="N392" s="2" t="s">
        <v>933</v>
      </c>
      <c r="O392" s="2" t="s">
        <v>933</v>
      </c>
      <c r="P392" s="4">
        <v>73000</v>
      </c>
      <c r="Q392" s="4">
        <v>0</v>
      </c>
      <c r="R392" s="4">
        <v>0</v>
      </c>
      <c r="S392"/>
    </row>
    <row r="393" spans="2:19" x14ac:dyDescent="0.25">
      <c r="B393">
        <v>1</v>
      </c>
      <c r="C393" s="2" t="s">
        <v>22</v>
      </c>
      <c r="D393" s="2" t="s">
        <v>934</v>
      </c>
      <c r="E393" s="2" t="s">
        <v>935</v>
      </c>
      <c r="F393" s="2" t="s">
        <v>150</v>
      </c>
      <c r="G393" s="2" t="s">
        <v>14</v>
      </c>
      <c r="H393" s="2" t="s">
        <v>15</v>
      </c>
      <c r="I393" s="21">
        <v>1</v>
      </c>
      <c r="J393" s="1">
        <v>5609</v>
      </c>
      <c r="K393" s="3">
        <v>42984</v>
      </c>
      <c r="L393" s="4">
        <v>240000</v>
      </c>
      <c r="M393" s="2" t="s">
        <v>151</v>
      </c>
      <c r="N393" s="2" t="s">
        <v>152</v>
      </c>
      <c r="O393" s="2" t="s">
        <v>152</v>
      </c>
      <c r="P393" s="4">
        <v>48000</v>
      </c>
      <c r="Q393" s="4">
        <v>0</v>
      </c>
      <c r="R393" s="4">
        <v>0</v>
      </c>
      <c r="S393"/>
    </row>
    <row r="394" spans="2:19" x14ac:dyDescent="0.25">
      <c r="B394">
        <v>1</v>
      </c>
      <c r="C394" s="2" t="s">
        <v>22</v>
      </c>
      <c r="D394" s="2" t="s">
        <v>936</v>
      </c>
      <c r="E394" s="2" t="s">
        <v>937</v>
      </c>
      <c r="F394" s="2" t="s">
        <v>150</v>
      </c>
      <c r="G394" s="2" t="s">
        <v>14</v>
      </c>
      <c r="H394" s="2" t="s">
        <v>15</v>
      </c>
      <c r="I394" s="21">
        <v>1</v>
      </c>
      <c r="J394" s="1">
        <v>5435</v>
      </c>
      <c r="K394" s="3">
        <v>42984</v>
      </c>
      <c r="L394" s="4">
        <v>240000</v>
      </c>
      <c r="M394" s="2" t="s">
        <v>151</v>
      </c>
      <c r="N394" s="2" t="s">
        <v>938</v>
      </c>
      <c r="O394" s="2" t="s">
        <v>938</v>
      </c>
      <c r="P394" s="4">
        <v>47000</v>
      </c>
      <c r="Q394" s="4">
        <v>0</v>
      </c>
      <c r="R394" s="4">
        <v>0</v>
      </c>
      <c r="S394"/>
    </row>
    <row r="395" spans="2:19" x14ac:dyDescent="0.25">
      <c r="B395">
        <v>1</v>
      </c>
      <c r="C395" s="2" t="s">
        <v>22</v>
      </c>
      <c r="D395" s="2" t="s">
        <v>939</v>
      </c>
      <c r="E395" s="2" t="s">
        <v>940</v>
      </c>
      <c r="F395" s="2" t="s">
        <v>150</v>
      </c>
      <c r="G395" s="2" t="s">
        <v>14</v>
      </c>
      <c r="H395" s="2" t="s">
        <v>15</v>
      </c>
      <c r="I395" s="21">
        <v>1</v>
      </c>
      <c r="J395" s="1">
        <v>5364</v>
      </c>
      <c r="K395" s="3">
        <v>42984</v>
      </c>
      <c r="L395" s="4">
        <v>240000</v>
      </c>
      <c r="M395" s="2" t="s">
        <v>151</v>
      </c>
      <c r="N395" s="2" t="s">
        <v>152</v>
      </c>
      <c r="O395" s="2" t="s">
        <v>941</v>
      </c>
      <c r="P395" s="4">
        <v>47000</v>
      </c>
      <c r="Q395" s="4">
        <v>0</v>
      </c>
      <c r="R395" s="4">
        <v>0</v>
      </c>
      <c r="S395"/>
    </row>
    <row r="396" spans="2:19" x14ac:dyDescent="0.25">
      <c r="B396">
        <v>1</v>
      </c>
      <c r="C396" s="2" t="s">
        <v>22</v>
      </c>
      <c r="D396" s="2" t="s">
        <v>942</v>
      </c>
      <c r="E396" s="2" t="s">
        <v>943</v>
      </c>
      <c r="F396" s="2" t="s">
        <v>150</v>
      </c>
      <c r="G396" s="2" t="s">
        <v>14</v>
      </c>
      <c r="H396" s="2" t="s">
        <v>15</v>
      </c>
      <c r="I396" s="21">
        <v>1</v>
      </c>
      <c r="J396" s="1">
        <v>5567</v>
      </c>
      <c r="K396" s="3">
        <v>42985</v>
      </c>
      <c r="L396" s="4">
        <v>429800</v>
      </c>
      <c r="M396" s="2" t="s">
        <v>152</v>
      </c>
      <c r="N396" s="2" t="s">
        <v>944</v>
      </c>
      <c r="O396" s="2" t="s">
        <v>944</v>
      </c>
      <c r="P396" s="4">
        <v>48000</v>
      </c>
      <c r="Q396" s="4">
        <v>0</v>
      </c>
      <c r="R396" s="4">
        <v>0</v>
      </c>
      <c r="S396"/>
    </row>
    <row r="397" spans="2:19" x14ac:dyDescent="0.25">
      <c r="B397">
        <v>1</v>
      </c>
      <c r="C397" s="2" t="s">
        <v>22</v>
      </c>
      <c r="D397" s="2" t="s">
        <v>945</v>
      </c>
      <c r="E397" s="2" t="s">
        <v>946</v>
      </c>
      <c r="F397" s="2" t="s">
        <v>132</v>
      </c>
      <c r="G397" s="2" t="s">
        <v>14</v>
      </c>
      <c r="H397" s="2" t="s">
        <v>15</v>
      </c>
      <c r="I397" s="21">
        <v>1</v>
      </c>
      <c r="J397" s="1">
        <v>5305</v>
      </c>
      <c r="K397" s="3">
        <v>42986</v>
      </c>
      <c r="L397" s="4">
        <v>445900</v>
      </c>
      <c r="M397" s="2" t="s">
        <v>947</v>
      </c>
      <c r="N397" s="2" t="s">
        <v>948</v>
      </c>
      <c r="O397" s="2" t="s">
        <v>948</v>
      </c>
      <c r="P397" s="4">
        <v>56000</v>
      </c>
      <c r="Q397" s="4">
        <v>0</v>
      </c>
      <c r="R397" s="4">
        <v>0</v>
      </c>
      <c r="S397"/>
    </row>
    <row r="398" spans="2:19" x14ac:dyDescent="0.25">
      <c r="B398">
        <v>1</v>
      </c>
      <c r="C398" s="2" t="s">
        <v>22</v>
      </c>
      <c r="D398" s="2" t="s">
        <v>949</v>
      </c>
      <c r="E398" s="2" t="s">
        <v>950</v>
      </c>
      <c r="F398" s="2" t="s">
        <v>253</v>
      </c>
      <c r="G398" s="2" t="s">
        <v>14</v>
      </c>
      <c r="H398" s="2" t="s">
        <v>15</v>
      </c>
      <c r="I398" s="21">
        <v>1</v>
      </c>
      <c r="J398" s="1">
        <v>8192</v>
      </c>
      <c r="K398" s="3">
        <v>42991</v>
      </c>
      <c r="L398" s="4">
        <v>594900</v>
      </c>
      <c r="M398" s="2" t="s">
        <v>30</v>
      </c>
      <c r="N398" s="2" t="s">
        <v>951</v>
      </c>
      <c r="O398" s="2" t="s">
        <v>951</v>
      </c>
      <c r="P398" s="4">
        <v>35000</v>
      </c>
      <c r="Q398" s="4">
        <v>0</v>
      </c>
      <c r="R398" s="4">
        <v>0</v>
      </c>
      <c r="S398"/>
    </row>
    <row r="399" spans="2:19" x14ac:dyDescent="0.25">
      <c r="B399">
        <v>1</v>
      </c>
      <c r="C399" s="2" t="s">
        <v>22</v>
      </c>
      <c r="D399" s="2" t="s">
        <v>952</v>
      </c>
      <c r="E399" s="2" t="s">
        <v>953</v>
      </c>
      <c r="F399" s="2" t="s">
        <v>268</v>
      </c>
      <c r="G399" s="2" t="s">
        <v>14</v>
      </c>
      <c r="H399" s="2" t="s">
        <v>15</v>
      </c>
      <c r="I399" s="21">
        <v>1</v>
      </c>
      <c r="J399" s="1">
        <v>5500</v>
      </c>
      <c r="K399" s="3">
        <v>42992</v>
      </c>
      <c r="L399" s="4">
        <v>563900</v>
      </c>
      <c r="M399" s="2" t="s">
        <v>269</v>
      </c>
      <c r="N399" s="2" t="s">
        <v>954</v>
      </c>
      <c r="O399" s="2" t="s">
        <v>954</v>
      </c>
      <c r="P399" s="4">
        <v>32000</v>
      </c>
      <c r="Q399" s="4">
        <v>0</v>
      </c>
      <c r="R399" s="4">
        <v>0</v>
      </c>
      <c r="S399"/>
    </row>
    <row r="400" spans="2:19" x14ac:dyDescent="0.25">
      <c r="B400">
        <v>1</v>
      </c>
      <c r="C400" s="2" t="s">
        <v>22</v>
      </c>
      <c r="D400" s="2" t="s">
        <v>955</v>
      </c>
      <c r="E400" s="2" t="s">
        <v>956</v>
      </c>
      <c r="F400" s="2" t="s">
        <v>957</v>
      </c>
      <c r="G400" s="2" t="s">
        <v>14</v>
      </c>
      <c r="H400" s="2" t="s">
        <v>15</v>
      </c>
      <c r="I400" s="21">
        <v>1</v>
      </c>
      <c r="J400" s="1">
        <v>9352</v>
      </c>
      <c r="K400" s="3">
        <v>42996</v>
      </c>
      <c r="L400" s="4">
        <v>540100</v>
      </c>
      <c r="M400" s="2" t="s">
        <v>958</v>
      </c>
      <c r="N400" s="2" t="s">
        <v>959</v>
      </c>
      <c r="O400" s="2" t="s">
        <v>960</v>
      </c>
      <c r="P400" s="4">
        <v>80000</v>
      </c>
      <c r="Q400" s="4">
        <v>0</v>
      </c>
      <c r="R400" s="4">
        <v>0</v>
      </c>
      <c r="S400"/>
    </row>
    <row r="401" spans="2:19" x14ac:dyDescent="0.25">
      <c r="B401">
        <v>1</v>
      </c>
      <c r="C401" s="2" t="s">
        <v>22</v>
      </c>
      <c r="D401" s="2" t="s">
        <v>968</v>
      </c>
      <c r="E401" s="2" t="s">
        <v>969</v>
      </c>
      <c r="F401" s="2" t="s">
        <v>957</v>
      </c>
      <c r="G401" s="2" t="s">
        <v>14</v>
      </c>
      <c r="H401" s="2" t="s">
        <v>15</v>
      </c>
      <c r="I401" s="21">
        <v>1</v>
      </c>
      <c r="J401" s="1">
        <v>4875</v>
      </c>
      <c r="K401" s="3">
        <v>43000</v>
      </c>
      <c r="L401" s="4">
        <v>417100</v>
      </c>
      <c r="M401" s="2" t="s">
        <v>970</v>
      </c>
      <c r="N401" s="2" t="s">
        <v>971</v>
      </c>
      <c r="O401" s="2" t="s">
        <v>971</v>
      </c>
      <c r="P401" s="4">
        <v>58000</v>
      </c>
      <c r="Q401" s="4">
        <v>0</v>
      </c>
      <c r="R401" s="4">
        <v>0</v>
      </c>
      <c r="S401"/>
    </row>
    <row r="402" spans="2:19" x14ac:dyDescent="0.25">
      <c r="B402">
        <v>1</v>
      </c>
      <c r="C402" s="2" t="s">
        <v>22</v>
      </c>
      <c r="D402" s="2" t="s">
        <v>972</v>
      </c>
      <c r="E402" s="2" t="s">
        <v>973</v>
      </c>
      <c r="F402" s="2" t="s">
        <v>106</v>
      </c>
      <c r="G402" s="2" t="s">
        <v>14</v>
      </c>
      <c r="H402" s="2" t="s">
        <v>15</v>
      </c>
      <c r="I402" s="21">
        <v>1</v>
      </c>
      <c r="J402" s="1">
        <v>2204</v>
      </c>
      <c r="K402" s="3">
        <v>43000</v>
      </c>
      <c r="L402" s="4">
        <v>675900</v>
      </c>
      <c r="M402" s="2" t="s">
        <v>974</v>
      </c>
      <c r="N402" s="2" t="s">
        <v>975</v>
      </c>
      <c r="O402" s="2" t="s">
        <v>975</v>
      </c>
      <c r="P402" s="4">
        <v>68000</v>
      </c>
      <c r="Q402" s="4">
        <v>0</v>
      </c>
      <c r="R402" s="4">
        <v>0</v>
      </c>
      <c r="S402"/>
    </row>
    <row r="403" spans="2:19" x14ac:dyDescent="0.25">
      <c r="B403">
        <v>1</v>
      </c>
      <c r="C403" s="2" t="s">
        <v>22</v>
      </c>
      <c r="D403" s="2" t="s">
        <v>979</v>
      </c>
      <c r="E403" s="2" t="s">
        <v>980</v>
      </c>
      <c r="F403" s="2" t="s">
        <v>957</v>
      </c>
      <c r="G403" s="2" t="s">
        <v>14</v>
      </c>
      <c r="H403" s="2" t="s">
        <v>15</v>
      </c>
      <c r="I403" s="21">
        <v>1</v>
      </c>
      <c r="J403" s="1">
        <v>11537</v>
      </c>
      <c r="K403" s="3">
        <v>43003</v>
      </c>
      <c r="L403" s="4">
        <v>511300</v>
      </c>
      <c r="M403" s="2" t="s">
        <v>970</v>
      </c>
      <c r="N403" s="2" t="s">
        <v>981</v>
      </c>
      <c r="O403" s="2" t="s">
        <v>981</v>
      </c>
      <c r="P403" s="4">
        <v>89000</v>
      </c>
      <c r="Q403" s="4">
        <v>0</v>
      </c>
      <c r="R403" s="4">
        <v>0</v>
      </c>
      <c r="S403"/>
    </row>
    <row r="404" spans="2:19" x14ac:dyDescent="0.25">
      <c r="B404">
        <v>1</v>
      </c>
      <c r="C404" s="2" t="s">
        <v>22</v>
      </c>
      <c r="D404" s="2" t="s">
        <v>986</v>
      </c>
      <c r="E404" s="2" t="s">
        <v>987</v>
      </c>
      <c r="F404" s="2" t="s">
        <v>253</v>
      </c>
      <c r="G404" s="2" t="s">
        <v>14</v>
      </c>
      <c r="H404" s="2" t="s">
        <v>15</v>
      </c>
      <c r="I404" s="21">
        <v>1</v>
      </c>
      <c r="J404" s="1">
        <v>7297</v>
      </c>
      <c r="K404" s="3">
        <v>43003</v>
      </c>
      <c r="L404" s="4">
        <v>572700</v>
      </c>
      <c r="M404" s="2" t="s">
        <v>30</v>
      </c>
      <c r="N404" s="2" t="s">
        <v>988</v>
      </c>
      <c r="O404" s="2" t="s">
        <v>988</v>
      </c>
      <c r="P404" s="4">
        <v>33000</v>
      </c>
      <c r="Q404" s="4">
        <v>0</v>
      </c>
      <c r="R404" s="4">
        <v>0</v>
      </c>
      <c r="S404"/>
    </row>
    <row r="405" spans="2:19" x14ac:dyDescent="0.25">
      <c r="B405">
        <v>1</v>
      </c>
      <c r="C405" s="2" t="s">
        <v>22</v>
      </c>
      <c r="D405" s="2" t="s">
        <v>989</v>
      </c>
      <c r="E405" s="2" t="s">
        <v>990</v>
      </c>
      <c r="F405" s="2" t="s">
        <v>150</v>
      </c>
      <c r="G405" s="2" t="s">
        <v>14</v>
      </c>
      <c r="H405" s="2" t="s">
        <v>15</v>
      </c>
      <c r="I405" s="21">
        <v>1</v>
      </c>
      <c r="J405" s="1">
        <v>4986</v>
      </c>
      <c r="K405" s="3">
        <v>43004</v>
      </c>
      <c r="L405" s="4">
        <v>418700</v>
      </c>
      <c r="M405" s="2" t="s">
        <v>152</v>
      </c>
      <c r="N405" s="2" t="s">
        <v>991</v>
      </c>
      <c r="O405" s="2" t="s">
        <v>991</v>
      </c>
      <c r="P405" s="4">
        <v>45000</v>
      </c>
      <c r="Q405" s="4">
        <v>0</v>
      </c>
      <c r="R405" s="4">
        <v>0</v>
      </c>
      <c r="S405"/>
    </row>
    <row r="406" spans="2:19" x14ac:dyDescent="0.25">
      <c r="B406">
        <v>1</v>
      </c>
      <c r="C406" s="2" t="s">
        <v>22</v>
      </c>
      <c r="D406" s="2" t="s">
        <v>992</v>
      </c>
      <c r="E406" s="2" t="s">
        <v>993</v>
      </c>
      <c r="F406" s="2" t="s">
        <v>913</v>
      </c>
      <c r="G406" s="2" t="s">
        <v>14</v>
      </c>
      <c r="H406" s="2" t="s">
        <v>15</v>
      </c>
      <c r="I406" s="21">
        <v>1</v>
      </c>
      <c r="J406" s="1">
        <v>4413</v>
      </c>
      <c r="K406" s="3">
        <v>43006</v>
      </c>
      <c r="L406" s="4">
        <v>676900</v>
      </c>
      <c r="M406" s="2" t="s">
        <v>994</v>
      </c>
      <c r="N406" s="2" t="s">
        <v>995</v>
      </c>
      <c r="O406" s="2" t="s">
        <v>995</v>
      </c>
      <c r="P406" s="4">
        <v>73000</v>
      </c>
      <c r="Q406" s="4">
        <v>0</v>
      </c>
      <c r="R406" s="4">
        <v>0</v>
      </c>
      <c r="S406"/>
    </row>
    <row r="407" spans="2:19" x14ac:dyDescent="0.25">
      <c r="B407">
        <v>1</v>
      </c>
      <c r="C407" s="2" t="s">
        <v>22</v>
      </c>
      <c r="D407" s="2" t="s">
        <v>996</v>
      </c>
      <c r="E407" s="2" t="s">
        <v>997</v>
      </c>
      <c r="F407" s="2" t="s">
        <v>268</v>
      </c>
      <c r="G407" s="2" t="s">
        <v>17</v>
      </c>
      <c r="H407" s="2" t="s">
        <v>24</v>
      </c>
      <c r="I407" s="21">
        <v>1</v>
      </c>
      <c r="J407" s="1">
        <v>11007</v>
      </c>
      <c r="K407" s="3">
        <v>43006</v>
      </c>
      <c r="L407" s="4">
        <v>398000</v>
      </c>
      <c r="M407" s="2" t="s">
        <v>998</v>
      </c>
      <c r="N407" s="2" t="s">
        <v>270</v>
      </c>
      <c r="O407" s="2" t="s">
        <v>270</v>
      </c>
      <c r="P407" s="4">
        <v>45000</v>
      </c>
      <c r="Q407" s="4">
        <v>0</v>
      </c>
      <c r="R407" s="4">
        <v>0</v>
      </c>
      <c r="S407"/>
    </row>
    <row r="408" spans="2:19" x14ac:dyDescent="0.25">
      <c r="B408">
        <v>1</v>
      </c>
      <c r="C408" s="2" t="s">
        <v>22</v>
      </c>
      <c r="D408" s="2" t="s">
        <v>999</v>
      </c>
      <c r="E408" s="2" t="s">
        <v>1000</v>
      </c>
      <c r="F408" s="2" t="s">
        <v>268</v>
      </c>
      <c r="G408" s="2" t="s">
        <v>17</v>
      </c>
      <c r="H408" s="2" t="s">
        <v>24</v>
      </c>
      <c r="I408" s="21">
        <v>1</v>
      </c>
      <c r="J408" s="1">
        <v>19067</v>
      </c>
      <c r="K408" s="3">
        <v>43006</v>
      </c>
      <c r="L408" s="4">
        <v>398000</v>
      </c>
      <c r="M408" s="2" t="s">
        <v>998</v>
      </c>
      <c r="N408" s="2" t="s">
        <v>270</v>
      </c>
      <c r="O408" s="2" t="s">
        <v>1001</v>
      </c>
      <c r="P408" s="4">
        <v>59000</v>
      </c>
      <c r="Q408" s="4">
        <v>0</v>
      </c>
      <c r="R408" s="4">
        <v>0</v>
      </c>
      <c r="S408"/>
    </row>
    <row r="409" spans="2:19" x14ac:dyDescent="0.25">
      <c r="B409">
        <v>1</v>
      </c>
      <c r="C409" s="2" t="s">
        <v>22</v>
      </c>
      <c r="D409" s="2" t="s">
        <v>999</v>
      </c>
      <c r="E409" s="2" t="s">
        <v>1000</v>
      </c>
      <c r="F409" s="2" t="s">
        <v>268</v>
      </c>
      <c r="G409" s="2" t="s">
        <v>17</v>
      </c>
      <c r="H409" s="2" t="s">
        <v>24</v>
      </c>
      <c r="I409" s="21">
        <v>1</v>
      </c>
      <c r="J409" s="1">
        <v>19067</v>
      </c>
      <c r="K409" s="3">
        <v>43006</v>
      </c>
      <c r="L409" s="4">
        <v>275000</v>
      </c>
      <c r="M409" s="2" t="s">
        <v>270</v>
      </c>
      <c r="N409" s="2" t="s">
        <v>1002</v>
      </c>
      <c r="O409" s="2" t="s">
        <v>1001</v>
      </c>
      <c r="P409" s="4">
        <v>59000</v>
      </c>
      <c r="Q409" s="4">
        <v>0</v>
      </c>
      <c r="R409" s="4">
        <v>0</v>
      </c>
      <c r="S409"/>
    </row>
    <row r="410" spans="2:19" x14ac:dyDescent="0.25">
      <c r="B410">
        <v>1</v>
      </c>
      <c r="C410" s="2" t="s">
        <v>22</v>
      </c>
      <c r="D410" s="2" t="s">
        <v>1003</v>
      </c>
      <c r="E410" s="2" t="s">
        <v>1004</v>
      </c>
      <c r="F410" s="2" t="s">
        <v>268</v>
      </c>
      <c r="G410" s="2" t="s">
        <v>14</v>
      </c>
      <c r="H410" s="2" t="s">
        <v>15</v>
      </c>
      <c r="I410" s="21">
        <v>1</v>
      </c>
      <c r="J410" s="1">
        <v>6893</v>
      </c>
      <c r="K410" s="3">
        <v>43006</v>
      </c>
      <c r="L410" s="4">
        <v>595500</v>
      </c>
      <c r="M410" s="2" t="s">
        <v>269</v>
      </c>
      <c r="N410" s="2" t="s">
        <v>1005</v>
      </c>
      <c r="O410" s="2" t="s">
        <v>1005</v>
      </c>
      <c r="P410" s="4">
        <v>35000</v>
      </c>
      <c r="Q410" s="4">
        <v>0</v>
      </c>
      <c r="R410" s="4">
        <v>0</v>
      </c>
      <c r="S410"/>
    </row>
    <row r="411" spans="2:19" x14ac:dyDescent="0.25">
      <c r="B411">
        <v>1</v>
      </c>
      <c r="C411" s="2" t="s">
        <v>22</v>
      </c>
      <c r="D411" s="2" t="s">
        <v>1006</v>
      </c>
      <c r="E411" s="2" t="s">
        <v>1007</v>
      </c>
      <c r="F411" s="2" t="s">
        <v>268</v>
      </c>
      <c r="G411" s="2" t="s">
        <v>14</v>
      </c>
      <c r="H411" s="2" t="s">
        <v>15</v>
      </c>
      <c r="I411" s="21">
        <v>1</v>
      </c>
      <c r="J411" s="1">
        <v>5500</v>
      </c>
      <c r="K411" s="3">
        <v>43007</v>
      </c>
      <c r="L411" s="4">
        <v>557300</v>
      </c>
      <c r="M411" s="2" t="s">
        <v>269</v>
      </c>
      <c r="N411" s="2" t="s">
        <v>1008</v>
      </c>
      <c r="O411" s="2" t="s">
        <v>1008</v>
      </c>
      <c r="P411" s="4">
        <v>32000</v>
      </c>
      <c r="Q411" s="4">
        <v>0</v>
      </c>
      <c r="R411" s="4">
        <v>0</v>
      </c>
      <c r="S411"/>
    </row>
    <row r="412" spans="2:19" x14ac:dyDescent="0.25">
      <c r="B412">
        <v>1</v>
      </c>
      <c r="C412" s="2" t="s">
        <v>22</v>
      </c>
      <c r="D412" s="2" t="s">
        <v>1009</v>
      </c>
      <c r="E412" s="2" t="s">
        <v>1010</v>
      </c>
      <c r="F412" s="2" t="s">
        <v>191</v>
      </c>
      <c r="G412" s="2" t="s">
        <v>14</v>
      </c>
      <c r="H412" s="2" t="s">
        <v>15</v>
      </c>
      <c r="I412" s="21">
        <v>1</v>
      </c>
      <c r="J412" s="1">
        <v>5267</v>
      </c>
      <c r="K412" s="3">
        <v>43010</v>
      </c>
      <c r="L412" s="4">
        <v>160000</v>
      </c>
      <c r="M412" s="2" t="s">
        <v>151</v>
      </c>
      <c r="N412" s="2" t="s">
        <v>152</v>
      </c>
      <c r="O412" s="2" t="s">
        <v>152</v>
      </c>
      <c r="P412" s="4">
        <v>56000</v>
      </c>
      <c r="Q412" s="4">
        <v>0</v>
      </c>
      <c r="R412" s="4">
        <v>0</v>
      </c>
      <c r="S412"/>
    </row>
    <row r="413" spans="2:19" x14ac:dyDescent="0.25">
      <c r="B413">
        <v>1</v>
      </c>
      <c r="C413" s="2" t="s">
        <v>22</v>
      </c>
      <c r="D413" s="2" t="s">
        <v>1011</v>
      </c>
      <c r="E413" s="2" t="s">
        <v>1012</v>
      </c>
      <c r="F413" s="2" t="s">
        <v>150</v>
      </c>
      <c r="G413" s="2" t="s">
        <v>14</v>
      </c>
      <c r="H413" s="2" t="s">
        <v>15</v>
      </c>
      <c r="I413" s="21">
        <v>1</v>
      </c>
      <c r="J413" s="1">
        <v>5301</v>
      </c>
      <c r="K413" s="3">
        <v>43010</v>
      </c>
      <c r="L413" s="4">
        <v>160000</v>
      </c>
      <c r="M413" s="2" t="s">
        <v>151</v>
      </c>
      <c r="N413" s="2" t="s">
        <v>152</v>
      </c>
      <c r="O413" s="2" t="s">
        <v>152</v>
      </c>
      <c r="P413" s="4">
        <v>47000</v>
      </c>
      <c r="Q413" s="4">
        <v>0</v>
      </c>
      <c r="R413" s="4">
        <v>0</v>
      </c>
      <c r="S413"/>
    </row>
    <row r="414" spans="2:19" x14ac:dyDescent="0.25">
      <c r="B414">
        <v>1</v>
      </c>
      <c r="C414" s="2" t="s">
        <v>22</v>
      </c>
      <c r="D414" s="2" t="s">
        <v>1013</v>
      </c>
      <c r="E414" s="2" t="s">
        <v>1014</v>
      </c>
      <c r="F414" s="2" t="s">
        <v>1015</v>
      </c>
      <c r="G414" s="2" t="s">
        <v>14</v>
      </c>
      <c r="H414" s="2" t="s">
        <v>15</v>
      </c>
      <c r="I414" s="21">
        <v>1</v>
      </c>
      <c r="J414" s="1">
        <v>7282</v>
      </c>
      <c r="K414" s="3">
        <v>43013</v>
      </c>
      <c r="L414" s="4">
        <v>525400</v>
      </c>
      <c r="M414" s="2" t="s">
        <v>1016</v>
      </c>
      <c r="N414" s="2" t="s">
        <v>1017</v>
      </c>
      <c r="O414" s="2" t="s">
        <v>1017</v>
      </c>
      <c r="P414" s="4">
        <v>59000</v>
      </c>
      <c r="Q414" s="4">
        <v>0</v>
      </c>
      <c r="R414" s="4">
        <v>0</v>
      </c>
      <c r="S414"/>
    </row>
    <row r="415" spans="2:19" x14ac:dyDescent="0.25">
      <c r="B415">
        <v>1</v>
      </c>
      <c r="C415" s="2" t="s">
        <v>22</v>
      </c>
      <c r="D415" s="2" t="s">
        <v>1018</v>
      </c>
      <c r="E415" s="2" t="s">
        <v>1019</v>
      </c>
      <c r="F415" s="2" t="s">
        <v>253</v>
      </c>
      <c r="G415" s="2" t="s">
        <v>14</v>
      </c>
      <c r="H415" s="2" t="s">
        <v>15</v>
      </c>
      <c r="I415" s="21">
        <v>1</v>
      </c>
      <c r="J415" s="1">
        <v>6379</v>
      </c>
      <c r="K415" s="3">
        <v>43021</v>
      </c>
      <c r="L415" s="4">
        <v>534900</v>
      </c>
      <c r="M415" s="2" t="s">
        <v>30</v>
      </c>
      <c r="N415" s="2" t="s">
        <v>1020</v>
      </c>
      <c r="O415" s="2" t="s">
        <v>1020</v>
      </c>
      <c r="P415" s="4">
        <v>31000</v>
      </c>
      <c r="Q415" s="4">
        <v>0</v>
      </c>
      <c r="R415" s="4">
        <v>0</v>
      </c>
      <c r="S415"/>
    </row>
    <row r="416" spans="2:19" x14ac:dyDescent="0.25">
      <c r="B416">
        <v>1</v>
      </c>
      <c r="C416" s="2" t="s">
        <v>22</v>
      </c>
      <c r="D416" s="2" t="s">
        <v>1021</v>
      </c>
      <c r="E416" s="2" t="s">
        <v>1022</v>
      </c>
      <c r="F416" s="2" t="s">
        <v>253</v>
      </c>
      <c r="G416" s="2" t="s">
        <v>14</v>
      </c>
      <c r="H416" s="2" t="s">
        <v>15</v>
      </c>
      <c r="I416" s="21">
        <v>1</v>
      </c>
      <c r="J416" s="1">
        <v>6375</v>
      </c>
      <c r="K416" s="3">
        <v>43024</v>
      </c>
      <c r="L416" s="4">
        <v>515100</v>
      </c>
      <c r="M416" s="2" t="s">
        <v>30</v>
      </c>
      <c r="N416" s="2" t="s">
        <v>1023</v>
      </c>
      <c r="O416" s="2" t="s">
        <v>1023</v>
      </c>
      <c r="P416" s="4">
        <v>31000</v>
      </c>
      <c r="Q416" s="4">
        <v>0</v>
      </c>
      <c r="R416" s="4">
        <v>0</v>
      </c>
      <c r="S416"/>
    </row>
    <row r="417" spans="2:19" x14ac:dyDescent="0.25">
      <c r="B417">
        <v>1</v>
      </c>
      <c r="C417" s="2" t="s">
        <v>22</v>
      </c>
      <c r="D417" s="2" t="s">
        <v>1024</v>
      </c>
      <c r="E417" s="2" t="s">
        <v>924</v>
      </c>
      <c r="F417" s="2" t="s">
        <v>1025</v>
      </c>
      <c r="G417" s="2" t="s">
        <v>17</v>
      </c>
      <c r="H417" s="2" t="s">
        <v>18</v>
      </c>
      <c r="I417" s="21">
        <v>1</v>
      </c>
      <c r="J417" s="1">
        <v>15194</v>
      </c>
      <c r="K417" s="3">
        <v>43026</v>
      </c>
      <c r="L417" s="4">
        <v>10000</v>
      </c>
      <c r="M417" s="2" t="s">
        <v>1026</v>
      </c>
      <c r="N417" s="2" t="s">
        <v>1027</v>
      </c>
      <c r="O417" s="2" t="s">
        <v>1028</v>
      </c>
      <c r="P417" s="4">
        <v>14000</v>
      </c>
      <c r="Q417" s="4">
        <v>0</v>
      </c>
      <c r="R417" s="4">
        <v>0</v>
      </c>
      <c r="S417"/>
    </row>
    <row r="418" spans="2:19" x14ac:dyDescent="0.25">
      <c r="B418">
        <v>1</v>
      </c>
      <c r="C418" s="2" t="s">
        <v>22</v>
      </c>
      <c r="D418" s="2" t="s">
        <v>1029</v>
      </c>
      <c r="E418" s="2" t="s">
        <v>1030</v>
      </c>
      <c r="F418" s="2" t="s">
        <v>957</v>
      </c>
      <c r="G418" s="2" t="s">
        <v>14</v>
      </c>
      <c r="H418" s="2" t="s">
        <v>15</v>
      </c>
      <c r="I418" s="21">
        <v>1</v>
      </c>
      <c r="J418" s="1">
        <v>3937</v>
      </c>
      <c r="K418" s="3">
        <v>43027</v>
      </c>
      <c r="L418" s="4">
        <v>375400</v>
      </c>
      <c r="M418" s="2" t="s">
        <v>958</v>
      </c>
      <c r="N418" s="2" t="s">
        <v>1031</v>
      </c>
      <c r="O418" s="2" t="s">
        <v>1031</v>
      </c>
      <c r="P418" s="4">
        <v>52000</v>
      </c>
      <c r="Q418" s="4">
        <v>0</v>
      </c>
      <c r="R418" s="4">
        <v>0</v>
      </c>
      <c r="S418"/>
    </row>
    <row r="419" spans="2:19" x14ac:dyDescent="0.25">
      <c r="B419">
        <v>1</v>
      </c>
      <c r="C419" s="2" t="s">
        <v>22</v>
      </c>
      <c r="D419" s="2" t="s">
        <v>1032</v>
      </c>
      <c r="E419" s="2" t="s">
        <v>1033</v>
      </c>
      <c r="F419" s="2" t="s">
        <v>132</v>
      </c>
      <c r="G419" s="2" t="s">
        <v>14</v>
      </c>
      <c r="H419" s="2" t="s">
        <v>15</v>
      </c>
      <c r="I419" s="21">
        <v>1</v>
      </c>
      <c r="J419" s="1">
        <v>6095</v>
      </c>
      <c r="K419" s="3">
        <v>43028</v>
      </c>
      <c r="L419" s="4">
        <v>453900</v>
      </c>
      <c r="M419" s="2" t="s">
        <v>1034</v>
      </c>
      <c r="N419" s="2" t="s">
        <v>1035</v>
      </c>
      <c r="O419" s="2" t="s">
        <v>1035</v>
      </c>
      <c r="P419" s="4">
        <v>60000</v>
      </c>
      <c r="Q419" s="4">
        <v>0</v>
      </c>
      <c r="R419" s="4">
        <v>0</v>
      </c>
      <c r="S419"/>
    </row>
    <row r="420" spans="2:19" x14ac:dyDescent="0.25">
      <c r="B420">
        <v>1</v>
      </c>
      <c r="C420" s="2" t="s">
        <v>22</v>
      </c>
      <c r="D420" s="2" t="s">
        <v>1036</v>
      </c>
      <c r="E420" s="2" t="s">
        <v>1037</v>
      </c>
      <c r="F420" s="2" t="s">
        <v>132</v>
      </c>
      <c r="G420" s="2" t="s">
        <v>14</v>
      </c>
      <c r="H420" s="2" t="s">
        <v>15</v>
      </c>
      <c r="I420" s="21">
        <v>1</v>
      </c>
      <c r="J420" s="1">
        <v>9959</v>
      </c>
      <c r="K420" s="3">
        <v>43028</v>
      </c>
      <c r="L420" s="4">
        <v>416900</v>
      </c>
      <c r="M420" s="2" t="s">
        <v>133</v>
      </c>
      <c r="N420" s="2" t="s">
        <v>1038</v>
      </c>
      <c r="O420" s="2" t="s">
        <v>1038</v>
      </c>
      <c r="P420" s="4">
        <v>76000</v>
      </c>
      <c r="Q420" s="4">
        <v>0</v>
      </c>
      <c r="R420" s="4">
        <v>0</v>
      </c>
      <c r="S420"/>
    </row>
    <row r="421" spans="2:19" x14ac:dyDescent="0.25">
      <c r="B421">
        <v>1</v>
      </c>
      <c r="C421" s="2" t="s">
        <v>22</v>
      </c>
      <c r="D421" s="2" t="s">
        <v>1039</v>
      </c>
      <c r="E421" s="2" t="s">
        <v>1040</v>
      </c>
      <c r="F421" s="2" t="s">
        <v>106</v>
      </c>
      <c r="G421" s="2" t="s">
        <v>14</v>
      </c>
      <c r="H421" s="2" t="s">
        <v>15</v>
      </c>
      <c r="I421" s="21">
        <v>1</v>
      </c>
      <c r="J421" s="1">
        <v>2223</v>
      </c>
      <c r="K421" s="3">
        <v>43035</v>
      </c>
      <c r="L421" s="4">
        <v>659900</v>
      </c>
      <c r="M421" s="2" t="s">
        <v>174</v>
      </c>
      <c r="N421" s="2" t="s">
        <v>1041</v>
      </c>
      <c r="O421" s="2" t="s">
        <v>1041</v>
      </c>
      <c r="P421" s="4">
        <v>68000</v>
      </c>
      <c r="Q421" s="4">
        <v>0</v>
      </c>
      <c r="R421" s="4">
        <v>0</v>
      </c>
      <c r="S421"/>
    </row>
    <row r="422" spans="2:19" x14ac:dyDescent="0.25">
      <c r="B422">
        <v>1</v>
      </c>
      <c r="C422" s="2" t="s">
        <v>22</v>
      </c>
      <c r="D422" s="2" t="s">
        <v>1042</v>
      </c>
      <c r="E422" s="2" t="s">
        <v>1043</v>
      </c>
      <c r="F422" s="2" t="s">
        <v>132</v>
      </c>
      <c r="G422" s="2" t="s">
        <v>14</v>
      </c>
      <c r="H422" s="2" t="s">
        <v>15</v>
      </c>
      <c r="I422" s="21">
        <v>1</v>
      </c>
      <c r="J422" s="1">
        <v>7635</v>
      </c>
      <c r="K422" s="3">
        <v>43039</v>
      </c>
      <c r="L422" s="4">
        <v>425900</v>
      </c>
      <c r="M422" s="2" t="s">
        <v>133</v>
      </c>
      <c r="N422" s="2" t="s">
        <v>1044</v>
      </c>
      <c r="O422" s="2" t="s">
        <v>1044</v>
      </c>
      <c r="P422" s="4">
        <v>67000</v>
      </c>
      <c r="Q422" s="4">
        <v>0</v>
      </c>
      <c r="R422" s="4">
        <v>0</v>
      </c>
      <c r="S422"/>
    </row>
    <row r="423" spans="2:19" x14ac:dyDescent="0.25">
      <c r="B423">
        <v>1</v>
      </c>
      <c r="C423" s="2" t="s">
        <v>22</v>
      </c>
      <c r="D423" s="2" t="s">
        <v>1045</v>
      </c>
      <c r="E423" s="2" t="s">
        <v>1046</v>
      </c>
      <c r="F423" s="2" t="s">
        <v>132</v>
      </c>
      <c r="G423" s="2" t="s">
        <v>14</v>
      </c>
      <c r="H423" s="2" t="s">
        <v>15</v>
      </c>
      <c r="I423" s="21">
        <v>1</v>
      </c>
      <c r="J423" s="1">
        <v>6611</v>
      </c>
      <c r="K423" s="3">
        <v>43039</v>
      </c>
      <c r="L423" s="4">
        <v>427900</v>
      </c>
      <c r="M423" s="2" t="s">
        <v>133</v>
      </c>
      <c r="N423" s="2" t="s">
        <v>1047</v>
      </c>
      <c r="O423" s="2" t="s">
        <v>1047</v>
      </c>
      <c r="P423" s="4">
        <v>62000</v>
      </c>
      <c r="Q423" s="4">
        <v>0</v>
      </c>
      <c r="R423" s="4">
        <v>0</v>
      </c>
      <c r="S423"/>
    </row>
    <row r="424" spans="2:19" x14ac:dyDescent="0.25">
      <c r="B424">
        <v>1</v>
      </c>
      <c r="C424" s="2" t="s">
        <v>22</v>
      </c>
      <c r="D424" s="2" t="s">
        <v>1048</v>
      </c>
      <c r="E424" s="2" t="s">
        <v>1049</v>
      </c>
      <c r="F424" s="2" t="s">
        <v>191</v>
      </c>
      <c r="G424" s="2" t="s">
        <v>17</v>
      </c>
      <c r="H424" s="2" t="s">
        <v>18</v>
      </c>
      <c r="I424" s="21">
        <v>1</v>
      </c>
      <c r="J424" s="1">
        <v>7636</v>
      </c>
      <c r="K424" s="3">
        <v>43040</v>
      </c>
      <c r="L424" s="4">
        <v>160000</v>
      </c>
      <c r="M424" s="2" t="s">
        <v>151</v>
      </c>
      <c r="N424" s="2" t="s">
        <v>152</v>
      </c>
      <c r="O424" s="2" t="s">
        <v>152</v>
      </c>
      <c r="P424" s="4">
        <v>68000</v>
      </c>
      <c r="Q424" s="4">
        <v>0</v>
      </c>
      <c r="R424" s="4">
        <v>0</v>
      </c>
      <c r="S424"/>
    </row>
    <row r="425" spans="2:19" x14ac:dyDescent="0.25">
      <c r="B425">
        <v>1</v>
      </c>
      <c r="C425" s="2" t="s">
        <v>22</v>
      </c>
      <c r="D425" s="2" t="s">
        <v>1050</v>
      </c>
      <c r="E425" s="2" t="s">
        <v>1051</v>
      </c>
      <c r="F425" s="2" t="s">
        <v>150</v>
      </c>
      <c r="G425" s="2" t="s">
        <v>17</v>
      </c>
      <c r="H425" s="2" t="s">
        <v>18</v>
      </c>
      <c r="I425" s="21">
        <v>1</v>
      </c>
      <c r="J425" s="1">
        <v>6851</v>
      </c>
      <c r="K425" s="3">
        <v>43040</v>
      </c>
      <c r="L425" s="4">
        <v>160000</v>
      </c>
      <c r="M425" s="2" t="s">
        <v>151</v>
      </c>
      <c r="N425" s="2" t="s">
        <v>152</v>
      </c>
      <c r="O425" s="2" t="s">
        <v>152</v>
      </c>
      <c r="P425" s="4">
        <v>54000</v>
      </c>
      <c r="Q425" s="4">
        <v>0</v>
      </c>
      <c r="R425" s="4">
        <v>0</v>
      </c>
      <c r="S425"/>
    </row>
    <row r="426" spans="2:19" x14ac:dyDescent="0.25">
      <c r="B426">
        <v>1</v>
      </c>
      <c r="C426" s="2" t="s">
        <v>22</v>
      </c>
      <c r="D426" s="2" t="s">
        <v>1052</v>
      </c>
      <c r="E426" s="2" t="s">
        <v>1053</v>
      </c>
      <c r="F426" s="2" t="s">
        <v>1054</v>
      </c>
      <c r="G426" s="2" t="s">
        <v>14</v>
      </c>
      <c r="H426" s="2" t="s">
        <v>15</v>
      </c>
      <c r="I426" s="21">
        <v>1</v>
      </c>
      <c r="J426" s="1">
        <v>10551</v>
      </c>
      <c r="K426" s="3">
        <v>43041</v>
      </c>
      <c r="L426" s="4">
        <v>416500</v>
      </c>
      <c r="M426" s="2" t="s">
        <v>958</v>
      </c>
      <c r="N426" s="2" t="s">
        <v>1055</v>
      </c>
      <c r="O426" s="2" t="s">
        <v>1055</v>
      </c>
      <c r="P426" s="4">
        <v>96000</v>
      </c>
      <c r="Q426" s="4">
        <v>0</v>
      </c>
      <c r="R426" s="4">
        <v>0</v>
      </c>
      <c r="S426"/>
    </row>
    <row r="427" spans="2:19" x14ac:dyDescent="0.25">
      <c r="B427">
        <v>1</v>
      </c>
      <c r="C427" s="2" t="s">
        <v>22</v>
      </c>
      <c r="D427" s="2" t="s">
        <v>1056</v>
      </c>
      <c r="E427" s="2" t="s">
        <v>1057</v>
      </c>
      <c r="F427" s="2" t="s">
        <v>268</v>
      </c>
      <c r="G427" s="2" t="s">
        <v>17</v>
      </c>
      <c r="H427" s="2" t="s">
        <v>24</v>
      </c>
      <c r="I427" s="21">
        <v>1</v>
      </c>
      <c r="J427" s="1">
        <v>15057</v>
      </c>
      <c r="K427" s="3">
        <v>43041</v>
      </c>
      <c r="L427" s="4">
        <v>250000</v>
      </c>
      <c r="M427" s="2" t="s">
        <v>270</v>
      </c>
      <c r="N427" s="2" t="s">
        <v>1058</v>
      </c>
      <c r="O427" s="2" t="s">
        <v>1058</v>
      </c>
      <c r="P427" s="4">
        <v>54000</v>
      </c>
      <c r="Q427" s="4">
        <v>0</v>
      </c>
      <c r="R427" s="4">
        <v>0</v>
      </c>
      <c r="S427"/>
    </row>
    <row r="428" spans="2:19" x14ac:dyDescent="0.25">
      <c r="B428">
        <v>1</v>
      </c>
      <c r="C428" s="2" t="s">
        <v>22</v>
      </c>
      <c r="D428" s="2" t="s">
        <v>1059</v>
      </c>
      <c r="E428" s="2" t="s">
        <v>1060</v>
      </c>
      <c r="F428" s="2" t="s">
        <v>957</v>
      </c>
      <c r="G428" s="2" t="s">
        <v>14</v>
      </c>
      <c r="H428" s="2" t="s">
        <v>15</v>
      </c>
      <c r="I428" s="21">
        <v>1</v>
      </c>
      <c r="J428" s="1">
        <v>3938</v>
      </c>
      <c r="K428" s="3">
        <v>43042</v>
      </c>
      <c r="L428" s="4">
        <v>390300</v>
      </c>
      <c r="M428" s="2" t="s">
        <v>958</v>
      </c>
      <c r="N428" s="2" t="s">
        <v>1061</v>
      </c>
      <c r="O428" s="2" t="s">
        <v>1061</v>
      </c>
      <c r="P428" s="4">
        <v>52000</v>
      </c>
      <c r="Q428" s="4">
        <v>0</v>
      </c>
      <c r="R428" s="4">
        <v>0</v>
      </c>
      <c r="S428"/>
    </row>
    <row r="429" spans="2:19" x14ac:dyDescent="0.25">
      <c r="B429">
        <v>1</v>
      </c>
      <c r="C429" s="2" t="s">
        <v>22</v>
      </c>
      <c r="D429" s="2" t="s">
        <v>159</v>
      </c>
      <c r="E429" s="2" t="s">
        <v>160</v>
      </c>
      <c r="F429" s="2" t="s">
        <v>23</v>
      </c>
      <c r="G429" s="2" t="s">
        <v>14</v>
      </c>
      <c r="H429" s="2" t="s">
        <v>15</v>
      </c>
      <c r="I429" s="21">
        <v>1</v>
      </c>
      <c r="J429" s="1">
        <v>5065</v>
      </c>
      <c r="K429" s="3">
        <v>43047</v>
      </c>
      <c r="L429" s="4">
        <v>472300</v>
      </c>
      <c r="M429" s="2" t="s">
        <v>161</v>
      </c>
      <c r="N429" s="2" t="s">
        <v>162</v>
      </c>
      <c r="O429" s="2" t="s">
        <v>162</v>
      </c>
      <c r="P429" s="4">
        <v>22000</v>
      </c>
      <c r="Q429" s="4">
        <v>0</v>
      </c>
      <c r="R429" s="4">
        <v>0</v>
      </c>
      <c r="S429"/>
    </row>
    <row r="430" spans="2:19" x14ac:dyDescent="0.25">
      <c r="B430">
        <v>1</v>
      </c>
      <c r="C430" s="2" t="s">
        <v>22</v>
      </c>
      <c r="D430" s="2" t="s">
        <v>1062</v>
      </c>
      <c r="E430" s="2" t="s">
        <v>1063</v>
      </c>
      <c r="F430" s="2" t="s">
        <v>132</v>
      </c>
      <c r="G430" s="2" t="s">
        <v>14</v>
      </c>
      <c r="H430" s="2" t="s">
        <v>15</v>
      </c>
      <c r="I430" s="21">
        <v>1</v>
      </c>
      <c r="J430" s="1">
        <v>9100</v>
      </c>
      <c r="K430" s="3">
        <v>43048</v>
      </c>
      <c r="L430" s="4">
        <v>419900</v>
      </c>
      <c r="M430" s="2" t="s">
        <v>1064</v>
      </c>
      <c r="N430" s="2" t="s">
        <v>1065</v>
      </c>
      <c r="O430" s="2" t="s">
        <v>1065</v>
      </c>
      <c r="P430" s="4">
        <v>73000</v>
      </c>
      <c r="Q430" s="4">
        <v>0</v>
      </c>
      <c r="R430" s="4">
        <v>0</v>
      </c>
      <c r="S430"/>
    </row>
    <row r="431" spans="2:19" x14ac:dyDescent="0.25">
      <c r="B431">
        <v>1</v>
      </c>
      <c r="C431" s="2" t="s">
        <v>22</v>
      </c>
      <c r="D431" s="2" t="s">
        <v>1066</v>
      </c>
      <c r="E431" s="2" t="s">
        <v>1067</v>
      </c>
      <c r="F431" s="2" t="s">
        <v>132</v>
      </c>
      <c r="G431" s="2" t="s">
        <v>14</v>
      </c>
      <c r="H431" s="2" t="s">
        <v>15</v>
      </c>
      <c r="I431" s="21">
        <v>1</v>
      </c>
      <c r="J431" s="1">
        <v>6501</v>
      </c>
      <c r="K431" s="3">
        <v>43048</v>
      </c>
      <c r="L431" s="4">
        <v>445900</v>
      </c>
      <c r="M431" s="2" t="s">
        <v>1064</v>
      </c>
      <c r="N431" s="2" t="s">
        <v>1068</v>
      </c>
      <c r="O431" s="2" t="s">
        <v>1068</v>
      </c>
      <c r="P431" s="4">
        <v>61000</v>
      </c>
      <c r="Q431" s="4">
        <v>0</v>
      </c>
      <c r="R431" s="4">
        <v>0</v>
      </c>
      <c r="S431"/>
    </row>
    <row r="432" spans="2:19" x14ac:dyDescent="0.25">
      <c r="B432">
        <v>1</v>
      </c>
      <c r="C432" s="2" t="s">
        <v>22</v>
      </c>
      <c r="D432" s="2" t="s">
        <v>1069</v>
      </c>
      <c r="E432" s="2" t="s">
        <v>1070</v>
      </c>
      <c r="F432" s="2" t="s">
        <v>253</v>
      </c>
      <c r="G432" s="2" t="s">
        <v>14</v>
      </c>
      <c r="H432" s="2" t="s">
        <v>15</v>
      </c>
      <c r="I432" s="21">
        <v>1</v>
      </c>
      <c r="J432" s="1">
        <v>7472</v>
      </c>
      <c r="K432" s="3">
        <v>43048</v>
      </c>
      <c r="L432" s="4">
        <v>589400</v>
      </c>
      <c r="M432" s="2" t="s">
        <v>30</v>
      </c>
      <c r="N432" s="2" t="s">
        <v>1071</v>
      </c>
      <c r="O432" s="2" t="s">
        <v>1071</v>
      </c>
      <c r="P432" s="4">
        <v>34000</v>
      </c>
      <c r="Q432" s="4">
        <v>0</v>
      </c>
      <c r="R432" s="4">
        <v>0</v>
      </c>
      <c r="S432"/>
    </row>
    <row r="433" spans="2:19" x14ac:dyDescent="0.25">
      <c r="B433">
        <v>1</v>
      </c>
      <c r="C433" s="2" t="s">
        <v>22</v>
      </c>
      <c r="D433" s="2" t="s">
        <v>259</v>
      </c>
      <c r="E433" s="2" t="s">
        <v>260</v>
      </c>
      <c r="F433" s="2" t="s">
        <v>150</v>
      </c>
      <c r="G433" s="2" t="s">
        <v>14</v>
      </c>
      <c r="H433" s="2" t="s">
        <v>15</v>
      </c>
      <c r="I433" s="21">
        <v>1</v>
      </c>
      <c r="J433" s="1">
        <v>4971</v>
      </c>
      <c r="K433" s="3">
        <v>43048</v>
      </c>
      <c r="L433" s="4">
        <v>408800</v>
      </c>
      <c r="M433" s="2" t="s">
        <v>152</v>
      </c>
      <c r="N433" s="2" t="s">
        <v>261</v>
      </c>
      <c r="O433" s="2" t="s">
        <v>261</v>
      </c>
      <c r="P433" s="4">
        <v>46000</v>
      </c>
      <c r="Q433" s="4">
        <v>0</v>
      </c>
      <c r="R433" s="4">
        <v>0</v>
      </c>
      <c r="S433"/>
    </row>
    <row r="434" spans="2:19" x14ac:dyDescent="0.25">
      <c r="B434">
        <v>1</v>
      </c>
      <c r="C434" s="2" t="s">
        <v>22</v>
      </c>
      <c r="D434" s="2" t="s">
        <v>194</v>
      </c>
      <c r="E434" s="2" t="s">
        <v>195</v>
      </c>
      <c r="F434" s="2" t="s">
        <v>23</v>
      </c>
      <c r="G434" s="2" t="s">
        <v>14</v>
      </c>
      <c r="H434" s="2" t="s">
        <v>15</v>
      </c>
      <c r="I434" s="21">
        <v>1</v>
      </c>
      <c r="J434" s="1">
        <v>3715</v>
      </c>
      <c r="K434" s="3">
        <v>43049</v>
      </c>
      <c r="L434" s="4">
        <v>115000</v>
      </c>
      <c r="M434" s="2" t="s">
        <v>25</v>
      </c>
      <c r="N434" s="2" t="s">
        <v>197</v>
      </c>
      <c r="O434" s="2" t="s">
        <v>197</v>
      </c>
      <c r="P434" s="4">
        <v>19000</v>
      </c>
      <c r="Q434" s="4">
        <v>0</v>
      </c>
      <c r="R434" s="4">
        <v>0</v>
      </c>
      <c r="S434"/>
    </row>
    <row r="435" spans="2:19" x14ac:dyDescent="0.25">
      <c r="B435">
        <v>1</v>
      </c>
      <c r="C435" s="2" t="s">
        <v>22</v>
      </c>
      <c r="D435" s="2" t="s">
        <v>210</v>
      </c>
      <c r="E435" s="2" t="s">
        <v>211</v>
      </c>
      <c r="F435" s="2" t="s">
        <v>23</v>
      </c>
      <c r="G435" s="2" t="s">
        <v>14</v>
      </c>
      <c r="H435" s="2" t="s">
        <v>15</v>
      </c>
      <c r="I435" s="21">
        <v>1</v>
      </c>
      <c r="J435" s="1">
        <v>3832</v>
      </c>
      <c r="K435" s="3">
        <v>43049</v>
      </c>
      <c r="L435" s="4">
        <v>115000</v>
      </c>
      <c r="M435" s="2" t="s">
        <v>25</v>
      </c>
      <c r="N435" s="2" t="s">
        <v>26</v>
      </c>
      <c r="O435" s="2" t="s">
        <v>26</v>
      </c>
      <c r="P435" s="4">
        <v>20000</v>
      </c>
      <c r="Q435" s="4">
        <v>0</v>
      </c>
      <c r="R435" s="4">
        <v>0</v>
      </c>
      <c r="S435"/>
    </row>
    <row r="436" spans="2:19" x14ac:dyDescent="0.25">
      <c r="B436">
        <v>1</v>
      </c>
      <c r="C436" s="2" t="s">
        <v>22</v>
      </c>
      <c r="D436" s="2" t="s">
        <v>1072</v>
      </c>
      <c r="E436" s="2" t="s">
        <v>1073</v>
      </c>
      <c r="F436" s="2" t="s">
        <v>957</v>
      </c>
      <c r="G436" s="2" t="s">
        <v>14</v>
      </c>
      <c r="H436" s="2" t="s">
        <v>15</v>
      </c>
      <c r="I436" s="21">
        <v>1</v>
      </c>
      <c r="J436" s="1">
        <v>10162</v>
      </c>
      <c r="K436" s="3">
        <v>43052</v>
      </c>
      <c r="L436" s="4">
        <v>508200</v>
      </c>
      <c r="M436" s="2" t="s">
        <v>1074</v>
      </c>
      <c r="N436" s="2" t="s">
        <v>1075</v>
      </c>
      <c r="O436" s="2" t="s">
        <v>1075</v>
      </c>
      <c r="P436" s="4">
        <v>83000</v>
      </c>
      <c r="Q436" s="4">
        <v>0</v>
      </c>
      <c r="R436" s="4">
        <v>0</v>
      </c>
      <c r="S436"/>
    </row>
    <row r="437" spans="2:19" x14ac:dyDescent="0.25">
      <c r="B437">
        <v>1</v>
      </c>
      <c r="C437" s="2" t="s">
        <v>22</v>
      </c>
      <c r="D437" s="2" t="s">
        <v>1076</v>
      </c>
      <c r="E437" s="2" t="s">
        <v>1077</v>
      </c>
      <c r="F437" s="2" t="s">
        <v>253</v>
      </c>
      <c r="G437" s="2" t="s">
        <v>14</v>
      </c>
      <c r="H437" s="2" t="s">
        <v>15</v>
      </c>
      <c r="I437" s="21">
        <v>1</v>
      </c>
      <c r="J437" s="1">
        <v>6699</v>
      </c>
      <c r="K437" s="3">
        <v>43054</v>
      </c>
      <c r="L437" s="4">
        <v>496100</v>
      </c>
      <c r="M437" s="2" t="s">
        <v>30</v>
      </c>
      <c r="N437" s="2" t="s">
        <v>1078</v>
      </c>
      <c r="O437" s="2" t="s">
        <v>1078</v>
      </c>
      <c r="P437" s="4">
        <v>32000</v>
      </c>
      <c r="Q437" s="4">
        <v>0</v>
      </c>
      <c r="R437" s="4">
        <v>0</v>
      </c>
      <c r="S437"/>
    </row>
    <row r="438" spans="2:19" x14ac:dyDescent="0.25">
      <c r="B438">
        <v>1</v>
      </c>
      <c r="C438" s="2" t="s">
        <v>22</v>
      </c>
      <c r="D438" s="2" t="s">
        <v>1079</v>
      </c>
      <c r="E438" s="2" t="s">
        <v>1080</v>
      </c>
      <c r="F438" s="2" t="s">
        <v>253</v>
      </c>
      <c r="G438" s="2" t="s">
        <v>14</v>
      </c>
      <c r="H438" s="2" t="s">
        <v>15</v>
      </c>
      <c r="I438" s="21">
        <v>1</v>
      </c>
      <c r="J438" s="1">
        <v>8408</v>
      </c>
      <c r="K438" s="3">
        <v>43054</v>
      </c>
      <c r="L438" s="4">
        <v>513900</v>
      </c>
      <c r="M438" s="2" t="s">
        <v>30</v>
      </c>
      <c r="N438" s="2" t="s">
        <v>1081</v>
      </c>
      <c r="O438" s="2" t="s">
        <v>1081</v>
      </c>
      <c r="P438" s="4">
        <v>36000</v>
      </c>
      <c r="Q438" s="4">
        <v>0</v>
      </c>
      <c r="R438" s="4">
        <v>0</v>
      </c>
      <c r="S438"/>
    </row>
    <row r="439" spans="2:19" x14ac:dyDescent="0.25">
      <c r="B439">
        <v>1</v>
      </c>
      <c r="C439" s="2" t="s">
        <v>22</v>
      </c>
      <c r="D439" s="2" t="s">
        <v>1082</v>
      </c>
      <c r="E439" s="2" t="s">
        <v>1083</v>
      </c>
      <c r="F439" s="2" t="s">
        <v>253</v>
      </c>
      <c r="G439" s="2" t="s">
        <v>14</v>
      </c>
      <c r="H439" s="2" t="s">
        <v>15</v>
      </c>
      <c r="I439" s="21">
        <v>1</v>
      </c>
      <c r="J439" s="1">
        <v>7130</v>
      </c>
      <c r="K439" s="3">
        <v>43054</v>
      </c>
      <c r="L439" s="4">
        <v>537000</v>
      </c>
      <c r="M439" s="2" t="s">
        <v>30</v>
      </c>
      <c r="N439" s="2" t="s">
        <v>1084</v>
      </c>
      <c r="O439" s="2" t="s">
        <v>1084</v>
      </c>
      <c r="P439" s="4">
        <v>33000</v>
      </c>
      <c r="Q439" s="4">
        <v>0</v>
      </c>
      <c r="R439" s="4">
        <v>0</v>
      </c>
      <c r="S439"/>
    </row>
    <row r="440" spans="2:19" x14ac:dyDescent="0.25">
      <c r="B440">
        <v>1</v>
      </c>
      <c r="C440" s="2" t="s">
        <v>22</v>
      </c>
      <c r="D440" s="2" t="s">
        <v>1085</v>
      </c>
      <c r="E440" s="2" t="s">
        <v>1086</v>
      </c>
      <c r="F440" s="2" t="s">
        <v>132</v>
      </c>
      <c r="G440" s="2" t="s">
        <v>14</v>
      </c>
      <c r="H440" s="2" t="s">
        <v>15</v>
      </c>
      <c r="I440" s="21">
        <v>1</v>
      </c>
      <c r="J440" s="1">
        <v>7389</v>
      </c>
      <c r="K440" s="3">
        <v>43056</v>
      </c>
      <c r="L440" s="4">
        <v>443900</v>
      </c>
      <c r="M440" s="2" t="s">
        <v>1064</v>
      </c>
      <c r="N440" s="2" t="s">
        <v>1087</v>
      </c>
      <c r="O440" s="2" t="s">
        <v>1087</v>
      </c>
      <c r="P440" s="4">
        <v>66000</v>
      </c>
      <c r="Q440" s="4">
        <v>0</v>
      </c>
      <c r="R440" s="4">
        <v>0</v>
      </c>
      <c r="S440"/>
    </row>
    <row r="441" spans="2:19" x14ac:dyDescent="0.25">
      <c r="B441">
        <v>1</v>
      </c>
      <c r="C441" s="2" t="s">
        <v>22</v>
      </c>
      <c r="D441" s="2" t="s">
        <v>1088</v>
      </c>
      <c r="E441" s="2" t="s">
        <v>1089</v>
      </c>
      <c r="F441" s="2" t="s">
        <v>1090</v>
      </c>
      <c r="G441" s="2" t="s">
        <v>14</v>
      </c>
      <c r="H441" s="2" t="s">
        <v>15</v>
      </c>
      <c r="I441" s="21">
        <v>1</v>
      </c>
      <c r="J441" s="1">
        <v>5214</v>
      </c>
      <c r="K441" s="3">
        <v>43056</v>
      </c>
      <c r="L441" s="4">
        <v>402400</v>
      </c>
      <c r="M441" s="2" t="s">
        <v>970</v>
      </c>
      <c r="N441" s="2" t="s">
        <v>1091</v>
      </c>
      <c r="O441" s="2" t="s">
        <v>1091</v>
      </c>
      <c r="P441" s="4">
        <v>71000</v>
      </c>
      <c r="Q441" s="4">
        <v>0</v>
      </c>
      <c r="R441" s="4">
        <v>0</v>
      </c>
      <c r="S441"/>
    </row>
    <row r="442" spans="2:19" x14ac:dyDescent="0.25">
      <c r="B442">
        <v>1</v>
      </c>
      <c r="C442" s="2" t="s">
        <v>22</v>
      </c>
      <c r="D442" s="2" t="s">
        <v>1092</v>
      </c>
      <c r="E442" s="2" t="s">
        <v>1093</v>
      </c>
      <c r="F442" s="2" t="s">
        <v>957</v>
      </c>
      <c r="G442" s="2" t="s">
        <v>14</v>
      </c>
      <c r="H442" s="2" t="s">
        <v>15</v>
      </c>
      <c r="I442" s="21">
        <v>1</v>
      </c>
      <c r="J442" s="1">
        <v>3939</v>
      </c>
      <c r="K442" s="3">
        <v>43056</v>
      </c>
      <c r="L442" s="4">
        <v>387400</v>
      </c>
      <c r="M442" s="2" t="s">
        <v>970</v>
      </c>
      <c r="N442" s="2" t="s">
        <v>1091</v>
      </c>
      <c r="O442" s="2" t="s">
        <v>1091</v>
      </c>
      <c r="P442" s="4">
        <v>52000</v>
      </c>
      <c r="Q442" s="4">
        <v>0</v>
      </c>
      <c r="R442" s="4">
        <v>0</v>
      </c>
      <c r="S442"/>
    </row>
    <row r="443" spans="2:19" x14ac:dyDescent="0.25">
      <c r="B443">
        <v>1</v>
      </c>
      <c r="C443" s="2" t="s">
        <v>22</v>
      </c>
      <c r="D443" s="2" t="s">
        <v>1098</v>
      </c>
      <c r="E443" s="2" t="s">
        <v>1099</v>
      </c>
      <c r="F443" s="2" t="s">
        <v>106</v>
      </c>
      <c r="G443" s="2" t="s">
        <v>17</v>
      </c>
      <c r="H443" s="2" t="s">
        <v>24</v>
      </c>
      <c r="I443" s="21">
        <v>1</v>
      </c>
      <c r="J443" s="1">
        <v>6079</v>
      </c>
      <c r="K443" s="3">
        <v>43056</v>
      </c>
      <c r="L443" s="4">
        <v>2500000</v>
      </c>
      <c r="M443" s="2" t="s">
        <v>1096</v>
      </c>
      <c r="N443" s="2" t="s">
        <v>1097</v>
      </c>
      <c r="O443" s="2" t="s">
        <v>1097</v>
      </c>
      <c r="P443" s="4">
        <v>61000</v>
      </c>
      <c r="Q443" s="4">
        <v>0</v>
      </c>
      <c r="R443" s="4">
        <v>0</v>
      </c>
      <c r="S443"/>
    </row>
    <row r="444" spans="2:19" x14ac:dyDescent="0.25">
      <c r="B444">
        <v>1</v>
      </c>
      <c r="C444" s="2" t="s">
        <v>22</v>
      </c>
      <c r="D444" s="2" t="s">
        <v>1100</v>
      </c>
      <c r="E444" s="2" t="s">
        <v>1101</v>
      </c>
      <c r="F444" s="2" t="s">
        <v>106</v>
      </c>
      <c r="G444" s="2" t="s">
        <v>17</v>
      </c>
      <c r="H444" s="2" t="s">
        <v>24</v>
      </c>
      <c r="I444" s="21">
        <v>1</v>
      </c>
      <c r="J444" s="1">
        <v>5999</v>
      </c>
      <c r="K444" s="3">
        <v>43056</v>
      </c>
      <c r="L444" s="4"/>
      <c r="M444" s="2" t="s">
        <v>1096</v>
      </c>
      <c r="N444" s="2" t="s">
        <v>1097</v>
      </c>
      <c r="O444" s="2" t="s">
        <v>1097</v>
      </c>
      <c r="P444" s="4">
        <v>61000</v>
      </c>
      <c r="Q444" s="4">
        <v>0</v>
      </c>
      <c r="R444" s="4">
        <v>0</v>
      </c>
      <c r="S444"/>
    </row>
    <row r="445" spans="2:19" x14ac:dyDescent="0.25">
      <c r="B445">
        <v>1</v>
      </c>
      <c r="C445" s="2" t="s">
        <v>22</v>
      </c>
      <c r="D445" s="2" t="s">
        <v>1102</v>
      </c>
      <c r="E445" s="2" t="s">
        <v>1103</v>
      </c>
      <c r="F445" s="2" t="s">
        <v>106</v>
      </c>
      <c r="G445" s="2" t="s">
        <v>17</v>
      </c>
      <c r="H445" s="2" t="s">
        <v>24</v>
      </c>
      <c r="I445" s="21">
        <v>1</v>
      </c>
      <c r="J445" s="1">
        <v>6883</v>
      </c>
      <c r="K445" s="3">
        <v>43056</v>
      </c>
      <c r="L445" s="4"/>
      <c r="M445" s="2" t="s">
        <v>1096</v>
      </c>
      <c r="N445" s="2" t="s">
        <v>1097</v>
      </c>
      <c r="O445" s="2" t="s">
        <v>1097</v>
      </c>
      <c r="P445" s="4">
        <v>65000</v>
      </c>
      <c r="Q445" s="4">
        <v>0</v>
      </c>
      <c r="R445" s="4">
        <v>0</v>
      </c>
      <c r="S445"/>
    </row>
    <row r="446" spans="2:19" x14ac:dyDescent="0.25">
      <c r="B446">
        <v>1</v>
      </c>
      <c r="C446" s="2" t="s">
        <v>22</v>
      </c>
      <c r="D446" s="2" t="s">
        <v>1104</v>
      </c>
      <c r="E446" s="2" t="s">
        <v>1105</v>
      </c>
      <c r="F446" s="2" t="s">
        <v>106</v>
      </c>
      <c r="G446" s="2" t="s">
        <v>17</v>
      </c>
      <c r="H446" s="2" t="s">
        <v>24</v>
      </c>
      <c r="I446" s="21">
        <v>1</v>
      </c>
      <c r="J446" s="1">
        <v>6586</v>
      </c>
      <c r="K446" s="3">
        <v>43056</v>
      </c>
      <c r="L446" s="4"/>
      <c r="M446" s="2" t="s">
        <v>1096</v>
      </c>
      <c r="N446" s="2" t="s">
        <v>1097</v>
      </c>
      <c r="O446" s="2" t="s">
        <v>1097</v>
      </c>
      <c r="P446" s="4">
        <v>64000</v>
      </c>
      <c r="Q446" s="4">
        <v>0</v>
      </c>
      <c r="R446" s="4">
        <v>0</v>
      </c>
      <c r="S446"/>
    </row>
    <row r="447" spans="2:19" x14ac:dyDescent="0.25">
      <c r="B447">
        <v>1</v>
      </c>
      <c r="C447" s="2" t="s">
        <v>22</v>
      </c>
      <c r="D447" s="2" t="s">
        <v>1106</v>
      </c>
      <c r="E447" s="2" t="s">
        <v>1107</v>
      </c>
      <c r="F447" s="2" t="s">
        <v>106</v>
      </c>
      <c r="G447" s="2" t="s">
        <v>17</v>
      </c>
      <c r="H447" s="2" t="s">
        <v>24</v>
      </c>
      <c r="I447" s="21">
        <v>1</v>
      </c>
      <c r="J447" s="1">
        <v>5863</v>
      </c>
      <c r="K447" s="3">
        <v>43056</v>
      </c>
      <c r="L447" s="4"/>
      <c r="M447" s="2" t="s">
        <v>1096</v>
      </c>
      <c r="N447" s="2" t="s">
        <v>1097</v>
      </c>
      <c r="O447" s="2" t="s">
        <v>1097</v>
      </c>
      <c r="P447" s="4">
        <v>60000</v>
      </c>
      <c r="Q447" s="4">
        <v>0</v>
      </c>
      <c r="R447" s="4">
        <v>0</v>
      </c>
      <c r="S447"/>
    </row>
    <row r="448" spans="2:19" x14ac:dyDescent="0.25">
      <c r="B448">
        <v>1</v>
      </c>
      <c r="C448" s="2" t="s">
        <v>22</v>
      </c>
      <c r="D448" s="2" t="s">
        <v>1108</v>
      </c>
      <c r="E448" s="2" t="s">
        <v>1109</v>
      </c>
      <c r="F448" s="2" t="s">
        <v>106</v>
      </c>
      <c r="G448" s="2" t="s">
        <v>17</v>
      </c>
      <c r="H448" s="2" t="s">
        <v>24</v>
      </c>
      <c r="I448" s="21">
        <v>1</v>
      </c>
      <c r="J448" s="1">
        <v>3679</v>
      </c>
      <c r="K448" s="3">
        <v>43056</v>
      </c>
      <c r="L448" s="4"/>
      <c r="M448" s="2" t="s">
        <v>1096</v>
      </c>
      <c r="N448" s="2" t="s">
        <v>1097</v>
      </c>
      <c r="O448" s="2" t="s">
        <v>1097</v>
      </c>
      <c r="P448" s="4">
        <v>48000</v>
      </c>
      <c r="Q448" s="4">
        <v>0</v>
      </c>
      <c r="R448" s="4">
        <v>0</v>
      </c>
      <c r="S448"/>
    </row>
    <row r="449" spans="2:19" x14ac:dyDescent="0.25">
      <c r="B449">
        <v>1</v>
      </c>
      <c r="C449" s="2" t="s">
        <v>22</v>
      </c>
      <c r="D449" s="2" t="s">
        <v>1110</v>
      </c>
      <c r="E449" s="2" t="s">
        <v>1111</v>
      </c>
      <c r="F449" s="2" t="s">
        <v>106</v>
      </c>
      <c r="G449" s="2" t="s">
        <v>17</v>
      </c>
      <c r="H449" s="2" t="s">
        <v>24</v>
      </c>
      <c r="I449" s="21">
        <v>1</v>
      </c>
      <c r="J449" s="1">
        <v>3518</v>
      </c>
      <c r="K449" s="3">
        <v>43056</v>
      </c>
      <c r="L449" s="4"/>
      <c r="M449" s="2" t="s">
        <v>1096</v>
      </c>
      <c r="N449" s="2" t="s">
        <v>1097</v>
      </c>
      <c r="O449" s="2" t="s">
        <v>1097</v>
      </c>
      <c r="P449" s="4">
        <v>47000</v>
      </c>
      <c r="Q449" s="4">
        <v>0</v>
      </c>
      <c r="R449" s="4">
        <v>0</v>
      </c>
      <c r="S449"/>
    </row>
    <row r="450" spans="2:19" x14ac:dyDescent="0.25">
      <c r="B450">
        <v>1</v>
      </c>
      <c r="C450" s="2" t="s">
        <v>22</v>
      </c>
      <c r="D450" s="2" t="s">
        <v>1112</v>
      </c>
      <c r="E450" s="2" t="s">
        <v>1113</v>
      </c>
      <c r="F450" s="2" t="s">
        <v>106</v>
      </c>
      <c r="G450" s="2" t="s">
        <v>17</v>
      </c>
      <c r="H450" s="2" t="s">
        <v>24</v>
      </c>
      <c r="I450" s="21">
        <v>1</v>
      </c>
      <c r="J450" s="1">
        <v>5855</v>
      </c>
      <c r="K450" s="3">
        <v>43056</v>
      </c>
      <c r="L450" s="4"/>
      <c r="M450" s="2" t="s">
        <v>1096</v>
      </c>
      <c r="N450" s="2" t="s">
        <v>1097</v>
      </c>
      <c r="O450" s="2" t="s">
        <v>1097</v>
      </c>
      <c r="P450" s="4">
        <v>60000</v>
      </c>
      <c r="Q450" s="4">
        <v>0</v>
      </c>
      <c r="R450" s="4">
        <v>0</v>
      </c>
      <c r="S450"/>
    </row>
    <row r="451" spans="2:19" x14ac:dyDescent="0.25">
      <c r="B451">
        <v>1</v>
      </c>
      <c r="C451" s="2" t="s">
        <v>22</v>
      </c>
      <c r="D451" s="2" t="s">
        <v>1114</v>
      </c>
      <c r="E451" s="2" t="s">
        <v>1115</v>
      </c>
      <c r="F451" s="2" t="s">
        <v>106</v>
      </c>
      <c r="G451" s="2" t="s">
        <v>17</v>
      </c>
      <c r="H451" s="2" t="s">
        <v>24</v>
      </c>
      <c r="I451" s="21">
        <v>1</v>
      </c>
      <c r="J451" s="1">
        <v>7162</v>
      </c>
      <c r="K451" s="3">
        <v>43056</v>
      </c>
      <c r="L451" s="4"/>
      <c r="M451" s="2" t="s">
        <v>1096</v>
      </c>
      <c r="N451" s="2" t="s">
        <v>1097</v>
      </c>
      <c r="O451" s="2" t="s">
        <v>1097</v>
      </c>
      <c r="P451" s="4">
        <v>67000</v>
      </c>
      <c r="Q451" s="4">
        <v>0</v>
      </c>
      <c r="R451" s="4">
        <v>0</v>
      </c>
      <c r="S451"/>
    </row>
    <row r="452" spans="2:19" x14ac:dyDescent="0.25">
      <c r="B452">
        <v>1</v>
      </c>
      <c r="C452" s="2" t="s">
        <v>22</v>
      </c>
      <c r="D452" s="2" t="s">
        <v>1116</v>
      </c>
      <c r="E452" s="2" t="s">
        <v>1117</v>
      </c>
      <c r="F452" s="2" t="s">
        <v>106</v>
      </c>
      <c r="G452" s="2" t="s">
        <v>17</v>
      </c>
      <c r="H452" s="2" t="s">
        <v>24</v>
      </c>
      <c r="I452" s="21">
        <v>1</v>
      </c>
      <c r="J452" s="1">
        <v>5202</v>
      </c>
      <c r="K452" s="3">
        <v>43056</v>
      </c>
      <c r="L452" s="4"/>
      <c r="M452" s="2" t="s">
        <v>1096</v>
      </c>
      <c r="N452" s="2" t="s">
        <v>1097</v>
      </c>
      <c r="O452" s="2" t="s">
        <v>1097</v>
      </c>
      <c r="P452" s="4">
        <v>57000</v>
      </c>
      <c r="Q452" s="4">
        <v>0</v>
      </c>
      <c r="R452" s="4">
        <v>0</v>
      </c>
      <c r="S452"/>
    </row>
    <row r="453" spans="2:19" x14ac:dyDescent="0.25">
      <c r="B453">
        <v>1</v>
      </c>
      <c r="C453" s="2" t="s">
        <v>22</v>
      </c>
      <c r="D453" s="2" t="s">
        <v>1118</v>
      </c>
      <c r="E453" s="2" t="s">
        <v>1119</v>
      </c>
      <c r="F453" s="2" t="s">
        <v>106</v>
      </c>
      <c r="G453" s="2" t="s">
        <v>17</v>
      </c>
      <c r="H453" s="2" t="s">
        <v>24</v>
      </c>
      <c r="I453" s="21">
        <v>1</v>
      </c>
      <c r="J453" s="1">
        <v>5524</v>
      </c>
      <c r="K453" s="3">
        <v>43056</v>
      </c>
      <c r="L453" s="4"/>
      <c r="M453" s="2" t="s">
        <v>1096</v>
      </c>
      <c r="N453" s="2" t="s">
        <v>1097</v>
      </c>
      <c r="O453" s="2" t="s">
        <v>1097</v>
      </c>
      <c r="P453" s="4">
        <v>59000</v>
      </c>
      <c r="Q453" s="4">
        <v>0</v>
      </c>
      <c r="R453" s="4">
        <v>0</v>
      </c>
      <c r="S453" s="164"/>
    </row>
    <row r="454" spans="2:19" x14ac:dyDescent="0.25">
      <c r="B454">
        <v>1</v>
      </c>
      <c r="C454" s="2" t="s">
        <v>22</v>
      </c>
      <c r="D454" s="2" t="s">
        <v>1120</v>
      </c>
      <c r="E454" s="2" t="s">
        <v>1121</v>
      </c>
      <c r="F454" s="2" t="s">
        <v>132</v>
      </c>
      <c r="G454" s="2" t="s">
        <v>14</v>
      </c>
      <c r="H454" s="2" t="s">
        <v>15</v>
      </c>
      <c r="I454" s="21">
        <v>1</v>
      </c>
      <c r="J454" s="1">
        <v>6067</v>
      </c>
      <c r="K454" s="3">
        <v>43059</v>
      </c>
      <c r="L454" s="4">
        <v>497900</v>
      </c>
      <c r="M454" s="2" t="s">
        <v>900</v>
      </c>
      <c r="N454" s="2" t="s">
        <v>1122</v>
      </c>
      <c r="O454" s="2" t="s">
        <v>1122</v>
      </c>
      <c r="P454" s="4">
        <v>59000</v>
      </c>
      <c r="Q454" s="4">
        <v>0</v>
      </c>
      <c r="R454" s="4">
        <v>0</v>
      </c>
      <c r="S454"/>
    </row>
    <row r="455" spans="2:19" x14ac:dyDescent="0.25">
      <c r="B455">
        <v>1</v>
      </c>
      <c r="C455" s="2" t="s">
        <v>22</v>
      </c>
      <c r="D455" s="2" t="s">
        <v>1123</v>
      </c>
      <c r="E455" s="2" t="s">
        <v>1124</v>
      </c>
      <c r="F455" s="2" t="s">
        <v>253</v>
      </c>
      <c r="G455" s="2" t="s">
        <v>14</v>
      </c>
      <c r="H455" s="2" t="s">
        <v>15</v>
      </c>
      <c r="I455" s="21">
        <v>1</v>
      </c>
      <c r="J455" s="1">
        <v>7527</v>
      </c>
      <c r="K455" s="3">
        <v>43061</v>
      </c>
      <c r="L455" s="4">
        <v>601400</v>
      </c>
      <c r="M455" s="2" t="s">
        <v>30</v>
      </c>
      <c r="N455" s="2" t="s">
        <v>1125</v>
      </c>
      <c r="O455" s="2" t="s">
        <v>1125</v>
      </c>
      <c r="P455" s="4">
        <v>34000</v>
      </c>
      <c r="Q455" s="4">
        <v>0</v>
      </c>
      <c r="R455" s="4">
        <v>0</v>
      </c>
      <c r="S455"/>
    </row>
    <row r="456" spans="2:19" x14ac:dyDescent="0.25">
      <c r="B456">
        <v>1</v>
      </c>
      <c r="C456" s="2" t="s">
        <v>22</v>
      </c>
      <c r="D456" s="2" t="s">
        <v>1126</v>
      </c>
      <c r="E456" s="2" t="s">
        <v>1127</v>
      </c>
      <c r="F456" s="2" t="s">
        <v>253</v>
      </c>
      <c r="G456" s="2" t="s">
        <v>14</v>
      </c>
      <c r="H456" s="2" t="s">
        <v>15</v>
      </c>
      <c r="I456" s="21">
        <v>1</v>
      </c>
      <c r="J456" s="1">
        <v>12412</v>
      </c>
      <c r="K456" s="3">
        <v>43061</v>
      </c>
      <c r="L456" s="4">
        <v>603900</v>
      </c>
      <c r="M456" s="2" t="s">
        <v>30</v>
      </c>
      <c r="N456" s="2" t="s">
        <v>1128</v>
      </c>
      <c r="O456" s="2" t="s">
        <v>1128</v>
      </c>
      <c r="P456" s="4">
        <v>44000</v>
      </c>
      <c r="Q456" s="4">
        <v>0</v>
      </c>
      <c r="R456" s="4">
        <v>0</v>
      </c>
      <c r="S456"/>
    </row>
    <row r="457" spans="2:19" x14ac:dyDescent="0.25">
      <c r="B457">
        <v>1</v>
      </c>
      <c r="C457" s="2" t="s">
        <v>22</v>
      </c>
      <c r="D457" s="2" t="s">
        <v>1129</v>
      </c>
      <c r="E457" s="2" t="s">
        <v>1130</v>
      </c>
      <c r="F457" s="2" t="s">
        <v>253</v>
      </c>
      <c r="G457" s="2" t="s">
        <v>14</v>
      </c>
      <c r="H457" s="2" t="s">
        <v>15</v>
      </c>
      <c r="I457" s="21">
        <v>1</v>
      </c>
      <c r="J457" s="1">
        <v>7259</v>
      </c>
      <c r="K457" s="3">
        <v>43061</v>
      </c>
      <c r="L457" s="4">
        <v>542100</v>
      </c>
      <c r="M457" s="2" t="s">
        <v>1131</v>
      </c>
      <c r="N457" s="2" t="s">
        <v>1132</v>
      </c>
      <c r="O457" s="2" t="s">
        <v>1132</v>
      </c>
      <c r="P457" s="4">
        <v>33000</v>
      </c>
      <c r="Q457" s="4">
        <v>0</v>
      </c>
      <c r="R457" s="4">
        <v>0</v>
      </c>
      <c r="S457"/>
    </row>
    <row r="458" spans="2:19" x14ac:dyDescent="0.25">
      <c r="B458">
        <v>1</v>
      </c>
      <c r="C458" s="2" t="s">
        <v>22</v>
      </c>
      <c r="D458" s="2" t="s">
        <v>1133</v>
      </c>
      <c r="E458" s="2" t="s">
        <v>1134</v>
      </c>
      <c r="F458" s="2" t="s">
        <v>253</v>
      </c>
      <c r="G458" s="2" t="s">
        <v>14</v>
      </c>
      <c r="H458" s="2" t="s">
        <v>15</v>
      </c>
      <c r="I458" s="21">
        <v>1</v>
      </c>
      <c r="J458" s="1">
        <v>6522</v>
      </c>
      <c r="K458" s="3">
        <v>43061</v>
      </c>
      <c r="L458" s="4">
        <v>507700</v>
      </c>
      <c r="M458" s="2" t="s">
        <v>30</v>
      </c>
      <c r="N458" s="2" t="s">
        <v>1135</v>
      </c>
      <c r="O458" s="2" t="s">
        <v>1135</v>
      </c>
      <c r="P458" s="4">
        <v>31000</v>
      </c>
      <c r="Q458" s="4">
        <v>0</v>
      </c>
      <c r="R458" s="4">
        <v>0</v>
      </c>
      <c r="S458"/>
    </row>
    <row r="459" spans="2:19" x14ac:dyDescent="0.25">
      <c r="B459">
        <v>1</v>
      </c>
      <c r="C459" s="2" t="s">
        <v>22</v>
      </c>
      <c r="D459" s="2" t="s">
        <v>1136</v>
      </c>
      <c r="E459" s="2" t="s">
        <v>1137</v>
      </c>
      <c r="F459" s="2" t="s">
        <v>253</v>
      </c>
      <c r="G459" s="2" t="s">
        <v>14</v>
      </c>
      <c r="H459" s="2" t="s">
        <v>15</v>
      </c>
      <c r="I459" s="21">
        <v>1</v>
      </c>
      <c r="J459" s="1">
        <v>6278</v>
      </c>
      <c r="K459" s="3">
        <v>43061</v>
      </c>
      <c r="L459" s="4">
        <v>505800</v>
      </c>
      <c r="M459" s="2" t="s">
        <v>30</v>
      </c>
      <c r="N459" s="2" t="s">
        <v>1138</v>
      </c>
      <c r="O459" s="2" t="s">
        <v>1138</v>
      </c>
      <c r="P459" s="4">
        <v>31000</v>
      </c>
      <c r="Q459" s="4">
        <v>0</v>
      </c>
      <c r="R459" s="4">
        <v>0</v>
      </c>
      <c r="S459"/>
    </row>
    <row r="460" spans="2:19" x14ac:dyDescent="0.25">
      <c r="B460">
        <v>1</v>
      </c>
      <c r="C460" s="2" t="s">
        <v>22</v>
      </c>
      <c r="D460" s="2" t="s">
        <v>1139</v>
      </c>
      <c r="E460" s="2" t="s">
        <v>1140</v>
      </c>
      <c r="F460" s="2" t="s">
        <v>253</v>
      </c>
      <c r="G460" s="2" t="s">
        <v>14</v>
      </c>
      <c r="H460" s="2" t="s">
        <v>15</v>
      </c>
      <c r="I460" s="21">
        <v>1</v>
      </c>
      <c r="J460" s="1">
        <v>7062</v>
      </c>
      <c r="K460" s="3">
        <v>43061</v>
      </c>
      <c r="L460" s="4">
        <v>553800</v>
      </c>
      <c r="M460" s="2" t="s">
        <v>30</v>
      </c>
      <c r="N460" s="2" t="s">
        <v>1141</v>
      </c>
      <c r="O460" s="2" t="s">
        <v>1141</v>
      </c>
      <c r="P460" s="4">
        <v>33000</v>
      </c>
      <c r="Q460" s="4">
        <v>0</v>
      </c>
      <c r="R460" s="4">
        <v>0</v>
      </c>
      <c r="S460"/>
    </row>
    <row r="461" spans="2:19" x14ac:dyDescent="0.25">
      <c r="B461">
        <v>1</v>
      </c>
      <c r="C461" s="2" t="s">
        <v>22</v>
      </c>
      <c r="D461" s="2" t="s">
        <v>1142</v>
      </c>
      <c r="E461" s="2" t="s">
        <v>1143</v>
      </c>
      <c r="F461" s="2" t="s">
        <v>253</v>
      </c>
      <c r="G461" s="2" t="s">
        <v>14</v>
      </c>
      <c r="H461" s="2" t="s">
        <v>15</v>
      </c>
      <c r="I461" s="21">
        <v>1</v>
      </c>
      <c r="J461" s="1">
        <v>8604</v>
      </c>
      <c r="K461" s="3">
        <v>43061</v>
      </c>
      <c r="L461" s="4">
        <v>496700</v>
      </c>
      <c r="M461" s="2" t="s">
        <v>30</v>
      </c>
      <c r="N461" s="2" t="s">
        <v>1144</v>
      </c>
      <c r="O461" s="2" t="s">
        <v>1144</v>
      </c>
      <c r="P461" s="4">
        <v>36000</v>
      </c>
      <c r="Q461" s="4">
        <v>0</v>
      </c>
      <c r="R461" s="4">
        <v>0</v>
      </c>
      <c r="S461"/>
    </row>
    <row r="462" spans="2:19" x14ac:dyDescent="0.25">
      <c r="B462">
        <v>1</v>
      </c>
      <c r="C462" s="2" t="s">
        <v>22</v>
      </c>
      <c r="D462" s="2" t="s">
        <v>200</v>
      </c>
      <c r="E462" s="2" t="s">
        <v>201</v>
      </c>
      <c r="F462" s="2" t="s">
        <v>23</v>
      </c>
      <c r="G462" s="2" t="s">
        <v>14</v>
      </c>
      <c r="H462" s="2" t="s">
        <v>15</v>
      </c>
      <c r="I462" s="21">
        <v>1</v>
      </c>
      <c r="J462" s="1">
        <v>3628</v>
      </c>
      <c r="K462" s="3">
        <v>43066</v>
      </c>
      <c r="L462" s="4">
        <v>105000</v>
      </c>
      <c r="M462" s="2" t="s">
        <v>25</v>
      </c>
      <c r="N462" s="2" t="s">
        <v>26</v>
      </c>
      <c r="O462" s="2" t="s">
        <v>26</v>
      </c>
      <c r="P462" s="4">
        <v>19000</v>
      </c>
      <c r="Q462" s="4">
        <v>0</v>
      </c>
      <c r="R462" s="4">
        <v>0</v>
      </c>
      <c r="S462"/>
    </row>
    <row r="463" spans="2:19" x14ac:dyDescent="0.25">
      <c r="B463">
        <v>1</v>
      </c>
      <c r="C463" s="2" t="s">
        <v>22</v>
      </c>
      <c r="D463" s="2" t="s">
        <v>1145</v>
      </c>
      <c r="E463" s="2" t="s">
        <v>1146</v>
      </c>
      <c r="F463" s="2" t="s">
        <v>132</v>
      </c>
      <c r="G463" s="2" t="s">
        <v>14</v>
      </c>
      <c r="H463" s="2" t="s">
        <v>15</v>
      </c>
      <c r="I463" s="21">
        <v>1</v>
      </c>
      <c r="J463" s="1">
        <v>6113</v>
      </c>
      <c r="K463" s="3">
        <v>43067</v>
      </c>
      <c r="L463" s="4">
        <v>421900</v>
      </c>
      <c r="M463" s="2" t="s">
        <v>133</v>
      </c>
      <c r="N463" s="2" t="s">
        <v>1147</v>
      </c>
      <c r="O463" s="2" t="s">
        <v>1147</v>
      </c>
      <c r="P463" s="4">
        <v>60000</v>
      </c>
      <c r="Q463" s="4">
        <v>0</v>
      </c>
      <c r="R463" s="4">
        <v>0</v>
      </c>
      <c r="S463"/>
    </row>
    <row r="464" spans="2:19" x14ac:dyDescent="0.25">
      <c r="B464">
        <v>1</v>
      </c>
      <c r="C464" s="2" t="s">
        <v>22</v>
      </c>
      <c r="D464" s="2" t="s">
        <v>1148</v>
      </c>
      <c r="E464" s="2" t="s">
        <v>1149</v>
      </c>
      <c r="F464" s="2" t="s">
        <v>106</v>
      </c>
      <c r="G464" s="2" t="s">
        <v>17</v>
      </c>
      <c r="H464" s="2" t="s">
        <v>24</v>
      </c>
      <c r="I464" s="21">
        <v>1</v>
      </c>
      <c r="J464" s="1">
        <v>6831</v>
      </c>
      <c r="K464" s="3">
        <v>43069</v>
      </c>
      <c r="L464" s="4">
        <v>309000</v>
      </c>
      <c r="M464" s="2" t="s">
        <v>919</v>
      </c>
      <c r="N464" s="2" t="s">
        <v>1150</v>
      </c>
      <c r="O464" s="2" t="s">
        <v>1150</v>
      </c>
      <c r="P464" s="4">
        <v>119000</v>
      </c>
      <c r="Q464" s="4">
        <v>0</v>
      </c>
      <c r="R464" s="4">
        <v>0</v>
      </c>
      <c r="S464"/>
    </row>
    <row r="465" spans="2:19" x14ac:dyDescent="0.25">
      <c r="B465">
        <v>1</v>
      </c>
      <c r="C465" s="2" t="s">
        <v>22</v>
      </c>
      <c r="D465" s="2" t="s">
        <v>1156</v>
      </c>
      <c r="E465" s="2" t="s">
        <v>1157</v>
      </c>
      <c r="F465" s="2" t="s">
        <v>253</v>
      </c>
      <c r="G465" s="2" t="s">
        <v>14</v>
      </c>
      <c r="H465" s="2" t="s">
        <v>15</v>
      </c>
      <c r="I465" s="21">
        <v>1</v>
      </c>
      <c r="J465" s="1">
        <v>6509</v>
      </c>
      <c r="K465" s="3">
        <v>43075</v>
      </c>
      <c r="L465" s="4">
        <v>517600</v>
      </c>
      <c r="M465" s="2" t="s">
        <v>30</v>
      </c>
      <c r="N465" s="2" t="s">
        <v>1158</v>
      </c>
      <c r="O465" s="2" t="s">
        <v>1158</v>
      </c>
      <c r="P465" s="4">
        <v>32000</v>
      </c>
      <c r="Q465" s="4">
        <v>0</v>
      </c>
      <c r="R465" s="4">
        <v>0</v>
      </c>
      <c r="S465"/>
    </row>
    <row r="466" spans="2:19" x14ac:dyDescent="0.25">
      <c r="B466">
        <v>1</v>
      </c>
      <c r="C466" s="2" t="s">
        <v>22</v>
      </c>
      <c r="D466" s="2" t="s">
        <v>262</v>
      </c>
      <c r="E466" s="2" t="s">
        <v>263</v>
      </c>
      <c r="F466" s="2" t="s">
        <v>150</v>
      </c>
      <c r="G466" s="2" t="s">
        <v>14</v>
      </c>
      <c r="H466" s="2" t="s">
        <v>15</v>
      </c>
      <c r="I466" s="21">
        <v>1</v>
      </c>
      <c r="J466" s="1">
        <v>4970</v>
      </c>
      <c r="K466" s="3">
        <v>43075</v>
      </c>
      <c r="L466" s="4">
        <v>394700</v>
      </c>
      <c r="M466" s="2" t="s">
        <v>264</v>
      </c>
      <c r="N466" s="2" t="s">
        <v>265</v>
      </c>
      <c r="O466" s="2" t="s">
        <v>265</v>
      </c>
      <c r="P466" s="4">
        <v>46000</v>
      </c>
      <c r="Q466" s="4">
        <v>0</v>
      </c>
      <c r="R466" s="4">
        <v>0</v>
      </c>
      <c r="S466"/>
    </row>
    <row r="467" spans="2:19" x14ac:dyDescent="0.25">
      <c r="B467">
        <v>1</v>
      </c>
      <c r="C467" s="2" t="s">
        <v>22</v>
      </c>
      <c r="D467" s="2" t="s">
        <v>1159</v>
      </c>
      <c r="E467" s="2" t="s">
        <v>1160</v>
      </c>
      <c r="F467" s="2" t="s">
        <v>253</v>
      </c>
      <c r="G467" s="2" t="s">
        <v>14</v>
      </c>
      <c r="H467" s="2" t="s">
        <v>15</v>
      </c>
      <c r="I467" s="21">
        <v>1</v>
      </c>
      <c r="J467" s="1">
        <v>7678</v>
      </c>
      <c r="K467" s="3">
        <v>43080</v>
      </c>
      <c r="L467" s="4">
        <v>500600</v>
      </c>
      <c r="M467" s="2" t="s">
        <v>1161</v>
      </c>
      <c r="N467" s="2" t="s">
        <v>1162</v>
      </c>
      <c r="O467" s="2" t="s">
        <v>1162</v>
      </c>
      <c r="P467" s="4">
        <v>34000</v>
      </c>
      <c r="Q467" s="4">
        <v>0</v>
      </c>
      <c r="R467" s="4">
        <v>0</v>
      </c>
      <c r="S467"/>
    </row>
    <row r="468" spans="2:19" x14ac:dyDescent="0.25">
      <c r="B468">
        <v>1</v>
      </c>
      <c r="C468" s="2" t="s">
        <v>22</v>
      </c>
      <c r="D468" s="2" t="s">
        <v>290</v>
      </c>
      <c r="E468" s="2" t="s">
        <v>291</v>
      </c>
      <c r="F468" s="2" t="s">
        <v>150</v>
      </c>
      <c r="G468" s="2" t="s">
        <v>14</v>
      </c>
      <c r="H468" s="2" t="s">
        <v>15</v>
      </c>
      <c r="I468" s="21">
        <v>1</v>
      </c>
      <c r="J468" s="1">
        <v>5649</v>
      </c>
      <c r="K468" s="3">
        <v>43081</v>
      </c>
      <c r="L468" s="4">
        <v>462600</v>
      </c>
      <c r="M468" s="2" t="s">
        <v>152</v>
      </c>
      <c r="N468" s="2" t="s">
        <v>292</v>
      </c>
      <c r="O468" s="2" t="s">
        <v>292</v>
      </c>
      <c r="P468" s="4">
        <v>49000</v>
      </c>
      <c r="Q468" s="4">
        <v>0</v>
      </c>
      <c r="R468" s="4">
        <v>0</v>
      </c>
      <c r="S468"/>
    </row>
    <row r="469" spans="2:19" x14ac:dyDescent="0.25">
      <c r="B469">
        <v>1</v>
      </c>
      <c r="C469" s="2" t="s">
        <v>22</v>
      </c>
      <c r="D469" s="2" t="s">
        <v>1163</v>
      </c>
      <c r="E469" s="2" t="s">
        <v>1164</v>
      </c>
      <c r="F469" s="2" t="s">
        <v>253</v>
      </c>
      <c r="G469" s="2" t="s">
        <v>14</v>
      </c>
      <c r="H469" s="2" t="s">
        <v>15</v>
      </c>
      <c r="I469" s="21">
        <v>1</v>
      </c>
      <c r="J469" s="1">
        <v>6970</v>
      </c>
      <c r="K469" s="3">
        <v>43082</v>
      </c>
      <c r="L469" s="4">
        <v>500000</v>
      </c>
      <c r="M469" s="2" t="s">
        <v>30</v>
      </c>
      <c r="N469" s="2" t="s">
        <v>1165</v>
      </c>
      <c r="O469" s="2" t="s">
        <v>1165</v>
      </c>
      <c r="P469" s="4">
        <v>32000</v>
      </c>
      <c r="Q469" s="4">
        <v>0</v>
      </c>
      <c r="R469" s="4">
        <v>0</v>
      </c>
      <c r="S469"/>
    </row>
    <row r="470" spans="2:19" x14ac:dyDescent="0.25">
      <c r="B470">
        <v>1</v>
      </c>
      <c r="C470" s="2" t="s">
        <v>22</v>
      </c>
      <c r="D470" s="2" t="s">
        <v>284</v>
      </c>
      <c r="E470" s="2" t="s">
        <v>285</v>
      </c>
      <c r="F470" s="2" t="s">
        <v>150</v>
      </c>
      <c r="G470" s="2" t="s">
        <v>14</v>
      </c>
      <c r="H470" s="2" t="s">
        <v>15</v>
      </c>
      <c r="I470" s="21">
        <v>1</v>
      </c>
      <c r="J470" s="1">
        <v>5066</v>
      </c>
      <c r="K470" s="3">
        <v>43083</v>
      </c>
      <c r="L470" s="4">
        <v>417100</v>
      </c>
      <c r="M470" s="2" t="s">
        <v>152</v>
      </c>
      <c r="N470" s="2" t="s">
        <v>286</v>
      </c>
      <c r="O470" s="2" t="s">
        <v>286</v>
      </c>
      <c r="P470" s="4">
        <v>45000</v>
      </c>
      <c r="Q470" s="4">
        <v>0</v>
      </c>
      <c r="R470" s="4">
        <v>0</v>
      </c>
      <c r="S470"/>
    </row>
    <row r="471" spans="2:19" x14ac:dyDescent="0.25">
      <c r="B471">
        <v>1</v>
      </c>
      <c r="C471" s="2" t="s">
        <v>22</v>
      </c>
      <c r="D471" s="2" t="s">
        <v>1166</v>
      </c>
      <c r="E471" s="2" t="s">
        <v>1167</v>
      </c>
      <c r="F471" s="2" t="s">
        <v>957</v>
      </c>
      <c r="G471" s="2" t="s">
        <v>14</v>
      </c>
      <c r="H471" s="2" t="s">
        <v>15</v>
      </c>
      <c r="I471" s="21">
        <v>1</v>
      </c>
      <c r="J471" s="1">
        <v>4088</v>
      </c>
      <c r="K471" s="3">
        <v>43087</v>
      </c>
      <c r="L471" s="4">
        <v>360000</v>
      </c>
      <c r="M471" s="2" t="s">
        <v>970</v>
      </c>
      <c r="N471" s="2" t="s">
        <v>1168</v>
      </c>
      <c r="O471" s="2" t="s">
        <v>1168</v>
      </c>
      <c r="P471" s="4">
        <v>53000</v>
      </c>
      <c r="Q471" s="4">
        <v>0</v>
      </c>
      <c r="R471" s="4">
        <v>0</v>
      </c>
      <c r="S471"/>
    </row>
    <row r="472" spans="2:19" x14ac:dyDescent="0.25">
      <c r="B472">
        <v>1</v>
      </c>
      <c r="C472" s="2" t="s">
        <v>22</v>
      </c>
      <c r="D472" s="2" t="s">
        <v>1169</v>
      </c>
      <c r="E472" s="2" t="s">
        <v>1170</v>
      </c>
      <c r="F472" s="2" t="s">
        <v>132</v>
      </c>
      <c r="G472" s="2" t="s">
        <v>14</v>
      </c>
      <c r="H472" s="2" t="s">
        <v>15</v>
      </c>
      <c r="I472" s="21">
        <v>1</v>
      </c>
      <c r="J472" s="1">
        <v>14656</v>
      </c>
      <c r="K472" s="3">
        <v>43088</v>
      </c>
      <c r="L472" s="4">
        <v>502000</v>
      </c>
      <c r="M472" s="2" t="s">
        <v>133</v>
      </c>
      <c r="N472" s="2" t="s">
        <v>1171</v>
      </c>
      <c r="O472" s="2" t="s">
        <v>1171</v>
      </c>
      <c r="P472" s="4">
        <v>92000</v>
      </c>
      <c r="Q472" s="4">
        <v>0</v>
      </c>
      <c r="R472" s="4">
        <v>0</v>
      </c>
      <c r="S472"/>
    </row>
    <row r="473" spans="2:19" x14ac:dyDescent="0.25">
      <c r="B473">
        <v>1</v>
      </c>
      <c r="C473" s="2" t="s">
        <v>22</v>
      </c>
      <c r="D473" s="2" t="s">
        <v>1172</v>
      </c>
      <c r="E473" s="2" t="s">
        <v>1173</v>
      </c>
      <c r="F473" s="2" t="s">
        <v>253</v>
      </c>
      <c r="G473" s="2" t="s">
        <v>14</v>
      </c>
      <c r="H473" s="2" t="s">
        <v>15</v>
      </c>
      <c r="I473" s="21">
        <v>1</v>
      </c>
      <c r="J473" s="1">
        <v>6743</v>
      </c>
      <c r="K473" s="3">
        <v>43089</v>
      </c>
      <c r="L473" s="4">
        <v>558000</v>
      </c>
      <c r="M473" s="2" t="s">
        <v>30</v>
      </c>
      <c r="N473" s="2" t="s">
        <v>1174</v>
      </c>
      <c r="O473" s="2" t="s">
        <v>1174</v>
      </c>
      <c r="P473" s="4">
        <v>32000</v>
      </c>
      <c r="Q473" s="4">
        <v>0</v>
      </c>
      <c r="R473" s="4">
        <v>0</v>
      </c>
      <c r="S473"/>
    </row>
    <row r="474" spans="2:19" x14ac:dyDescent="0.25">
      <c r="B474">
        <v>1</v>
      </c>
      <c r="C474" s="2" t="s">
        <v>22</v>
      </c>
      <c r="D474" s="2" t="s">
        <v>1175</v>
      </c>
      <c r="E474" s="2" t="s">
        <v>1176</v>
      </c>
      <c r="F474" s="2" t="s">
        <v>253</v>
      </c>
      <c r="G474" s="2" t="s">
        <v>14</v>
      </c>
      <c r="H474" s="2" t="s">
        <v>15</v>
      </c>
      <c r="I474" s="21">
        <v>1</v>
      </c>
      <c r="J474" s="1">
        <v>9649</v>
      </c>
      <c r="K474" s="3">
        <v>43089</v>
      </c>
      <c r="L474" s="4">
        <v>651900</v>
      </c>
      <c r="M474" s="2" t="s">
        <v>30</v>
      </c>
      <c r="N474" s="2" t="s">
        <v>1177</v>
      </c>
      <c r="O474" s="2" t="s">
        <v>1177</v>
      </c>
      <c r="P474" s="4">
        <v>38000</v>
      </c>
      <c r="Q474" s="4">
        <v>0</v>
      </c>
      <c r="R474" s="4">
        <v>0</v>
      </c>
      <c r="S474"/>
    </row>
    <row r="475" spans="2:19" x14ac:dyDescent="0.25">
      <c r="B475">
        <v>1</v>
      </c>
      <c r="C475" s="2" t="s">
        <v>22</v>
      </c>
      <c r="D475" s="2" t="s">
        <v>1178</v>
      </c>
      <c r="E475" s="2" t="s">
        <v>1179</v>
      </c>
      <c r="F475" s="2" t="s">
        <v>253</v>
      </c>
      <c r="G475" s="2" t="s">
        <v>14</v>
      </c>
      <c r="H475" s="2" t="s">
        <v>15</v>
      </c>
      <c r="I475" s="21">
        <v>1</v>
      </c>
      <c r="J475" s="1">
        <v>6484</v>
      </c>
      <c r="K475" s="3">
        <v>43089</v>
      </c>
      <c r="L475" s="4">
        <v>553200</v>
      </c>
      <c r="M475" s="2" t="s">
        <v>1180</v>
      </c>
      <c r="N475" s="2" t="s">
        <v>1181</v>
      </c>
      <c r="O475" s="2" t="s">
        <v>1181</v>
      </c>
      <c r="P475" s="4">
        <v>32000</v>
      </c>
      <c r="Q475" s="4">
        <v>0</v>
      </c>
      <c r="R475" s="4">
        <v>0</v>
      </c>
      <c r="S475"/>
    </row>
    <row r="476" spans="2:19" x14ac:dyDescent="0.25">
      <c r="B476">
        <v>1</v>
      </c>
      <c r="C476" s="2" t="s">
        <v>22</v>
      </c>
      <c r="D476" s="2" t="s">
        <v>1182</v>
      </c>
      <c r="E476" s="2" t="s">
        <v>1183</v>
      </c>
      <c r="F476" s="2" t="s">
        <v>253</v>
      </c>
      <c r="G476" s="2" t="s">
        <v>14</v>
      </c>
      <c r="H476" s="2" t="s">
        <v>15</v>
      </c>
      <c r="I476" s="21">
        <v>1</v>
      </c>
      <c r="J476" s="1">
        <v>7681</v>
      </c>
      <c r="K476" s="3">
        <v>43089</v>
      </c>
      <c r="L476" s="4">
        <v>536900</v>
      </c>
      <c r="M476" s="2" t="s">
        <v>30</v>
      </c>
      <c r="N476" s="2" t="s">
        <v>1184</v>
      </c>
      <c r="O476" s="2" t="s">
        <v>1184</v>
      </c>
      <c r="P476" s="4">
        <v>34000</v>
      </c>
      <c r="Q476" s="4">
        <v>0</v>
      </c>
      <c r="R476" s="4">
        <v>0</v>
      </c>
      <c r="S476"/>
    </row>
    <row r="477" spans="2:19" x14ac:dyDescent="0.25">
      <c r="B477">
        <v>1</v>
      </c>
      <c r="C477" s="2" t="s">
        <v>22</v>
      </c>
      <c r="D477" s="2" t="s">
        <v>1185</v>
      </c>
      <c r="E477" s="2" t="s">
        <v>1186</v>
      </c>
      <c r="F477" s="2" t="s">
        <v>268</v>
      </c>
      <c r="G477" s="2" t="s">
        <v>17</v>
      </c>
      <c r="H477" s="2" t="s">
        <v>1187</v>
      </c>
      <c r="I477" s="21">
        <v>1</v>
      </c>
      <c r="J477" s="1">
        <v>34481</v>
      </c>
      <c r="K477" s="3">
        <v>43089</v>
      </c>
      <c r="L477" s="4">
        <v>308500</v>
      </c>
      <c r="M477" s="2" t="s">
        <v>270</v>
      </c>
      <c r="N477" s="2" t="s">
        <v>1188</v>
      </c>
      <c r="O477" s="2" t="s">
        <v>1188</v>
      </c>
      <c r="P477" s="4">
        <v>275000</v>
      </c>
      <c r="Q477" s="4">
        <v>0</v>
      </c>
      <c r="R477" s="4">
        <v>0</v>
      </c>
      <c r="S477"/>
    </row>
    <row r="478" spans="2:19" x14ac:dyDescent="0.25">
      <c r="B478">
        <v>1</v>
      </c>
      <c r="C478" s="2" t="s">
        <v>22</v>
      </c>
      <c r="D478" s="2" t="s">
        <v>1189</v>
      </c>
      <c r="E478" s="2" t="s">
        <v>1190</v>
      </c>
      <c r="F478" s="2" t="s">
        <v>253</v>
      </c>
      <c r="G478" s="2" t="s">
        <v>14</v>
      </c>
      <c r="H478" s="2" t="s">
        <v>15</v>
      </c>
      <c r="I478" s="21">
        <v>1</v>
      </c>
      <c r="J478" s="1">
        <v>9742</v>
      </c>
      <c r="K478" s="3">
        <v>43090</v>
      </c>
      <c r="L478" s="4">
        <v>624900</v>
      </c>
      <c r="M478" s="2" t="s">
        <v>30</v>
      </c>
      <c r="N478" s="2" t="s">
        <v>1191</v>
      </c>
      <c r="O478" s="2" t="s">
        <v>1191</v>
      </c>
      <c r="P478" s="4">
        <v>39000</v>
      </c>
      <c r="Q478" s="4">
        <v>0</v>
      </c>
      <c r="R478" s="4">
        <v>0</v>
      </c>
      <c r="S478"/>
    </row>
    <row r="479" spans="2:19" x14ac:dyDescent="0.25">
      <c r="B479">
        <v>1</v>
      </c>
      <c r="C479" s="2" t="s">
        <v>22</v>
      </c>
      <c r="D479" s="2" t="s">
        <v>1192</v>
      </c>
      <c r="E479" s="2" t="s">
        <v>1193</v>
      </c>
      <c r="F479" s="2" t="s">
        <v>253</v>
      </c>
      <c r="G479" s="2" t="s">
        <v>14</v>
      </c>
      <c r="H479" s="2" t="s">
        <v>15</v>
      </c>
      <c r="I479" s="21">
        <v>1</v>
      </c>
      <c r="J479" s="1">
        <v>6581</v>
      </c>
      <c r="K479" s="3">
        <v>43091</v>
      </c>
      <c r="L479" s="4">
        <v>499900</v>
      </c>
      <c r="M479" s="2" t="s">
        <v>30</v>
      </c>
      <c r="N479" s="2" t="s">
        <v>1194</v>
      </c>
      <c r="O479" s="2" t="s">
        <v>1194</v>
      </c>
      <c r="P479" s="4">
        <v>31000</v>
      </c>
      <c r="Q479" s="4">
        <v>0</v>
      </c>
      <c r="R479" s="4">
        <v>0</v>
      </c>
      <c r="S479"/>
    </row>
    <row r="480" spans="2:19" x14ac:dyDescent="0.25">
      <c r="B480">
        <v>1</v>
      </c>
      <c r="C480" s="2" t="s">
        <v>22</v>
      </c>
      <c r="D480" s="2" t="s">
        <v>1195</v>
      </c>
      <c r="E480" s="2" t="s">
        <v>1196</v>
      </c>
      <c r="F480" s="2" t="s">
        <v>253</v>
      </c>
      <c r="G480" s="2" t="s">
        <v>14</v>
      </c>
      <c r="H480" s="2" t="s">
        <v>15</v>
      </c>
      <c r="I480" s="21">
        <v>1</v>
      </c>
      <c r="J480" s="1">
        <v>7268</v>
      </c>
      <c r="K480" s="3">
        <v>43091</v>
      </c>
      <c r="L480" s="4">
        <v>506700</v>
      </c>
      <c r="M480" s="2" t="s">
        <v>30</v>
      </c>
      <c r="N480" s="2" t="s">
        <v>1197</v>
      </c>
      <c r="O480" s="2" t="s">
        <v>1197</v>
      </c>
      <c r="P480" s="4">
        <v>33000</v>
      </c>
      <c r="Q480" s="4">
        <v>0</v>
      </c>
      <c r="R480" s="4">
        <v>0</v>
      </c>
      <c r="S480"/>
    </row>
    <row r="481" spans="1:19" x14ac:dyDescent="0.25">
      <c r="B481">
        <v>1</v>
      </c>
      <c r="C481" s="2" t="s">
        <v>22</v>
      </c>
      <c r="D481" s="2" t="s">
        <v>1198</v>
      </c>
      <c r="E481" s="2" t="s">
        <v>1199</v>
      </c>
      <c r="F481" s="2" t="s">
        <v>253</v>
      </c>
      <c r="G481" s="2" t="s">
        <v>14</v>
      </c>
      <c r="H481" s="2" t="s">
        <v>15</v>
      </c>
      <c r="I481" s="21">
        <v>1</v>
      </c>
      <c r="J481" s="1">
        <v>6237</v>
      </c>
      <c r="K481" s="3">
        <v>43096</v>
      </c>
      <c r="L481" s="4">
        <v>494900</v>
      </c>
      <c r="M481" s="2" t="s">
        <v>1200</v>
      </c>
      <c r="N481" s="2" t="s">
        <v>1201</v>
      </c>
      <c r="O481" s="2" t="s">
        <v>1201</v>
      </c>
      <c r="P481" s="4">
        <v>30000</v>
      </c>
      <c r="Q481" s="4">
        <v>0</v>
      </c>
      <c r="R481" s="4">
        <v>0</v>
      </c>
      <c r="S481"/>
    </row>
    <row r="482" spans="1:19" x14ac:dyDescent="0.25">
      <c r="B482">
        <v>1</v>
      </c>
      <c r="C482" s="2" t="s">
        <v>22</v>
      </c>
      <c r="D482" s="2" t="s">
        <v>1202</v>
      </c>
      <c r="E482" s="2" t="s">
        <v>1203</v>
      </c>
      <c r="F482" s="2" t="s">
        <v>1204</v>
      </c>
      <c r="G482" s="2" t="s">
        <v>17</v>
      </c>
      <c r="H482" s="2" t="s">
        <v>18</v>
      </c>
      <c r="I482" s="21">
        <v>1</v>
      </c>
      <c r="J482" s="1">
        <v>16581</v>
      </c>
      <c r="K482" s="3">
        <v>43097</v>
      </c>
      <c r="L482" s="4">
        <v>130000</v>
      </c>
      <c r="M482" s="2" t="s">
        <v>1205</v>
      </c>
      <c r="N482" s="2" t="s">
        <v>185</v>
      </c>
      <c r="O482" s="2" t="s">
        <v>185</v>
      </c>
      <c r="P482" s="4">
        <v>96000</v>
      </c>
      <c r="Q482" s="4">
        <v>0</v>
      </c>
      <c r="R482" s="4">
        <v>0</v>
      </c>
      <c r="S482"/>
    </row>
    <row r="483" spans="1:19" x14ac:dyDescent="0.25">
      <c r="B483">
        <v>1</v>
      </c>
      <c r="C483" s="2" t="s">
        <v>22</v>
      </c>
      <c r="D483" s="2" t="s">
        <v>720</v>
      </c>
      <c r="E483" s="2" t="s">
        <v>719</v>
      </c>
      <c r="F483" s="2" t="s">
        <v>721</v>
      </c>
      <c r="G483" s="2" t="s">
        <v>17</v>
      </c>
      <c r="H483" s="2" t="s">
        <v>110</v>
      </c>
      <c r="I483" s="23">
        <f>J483/5000</f>
        <v>35.021799999999999</v>
      </c>
      <c r="J483" s="1">
        <v>175109</v>
      </c>
      <c r="K483" s="3">
        <v>42943</v>
      </c>
      <c r="L483" s="4">
        <v>4060000</v>
      </c>
      <c r="M483" s="2" t="s">
        <v>718</v>
      </c>
      <c r="N483" s="2" t="s">
        <v>34</v>
      </c>
      <c r="O483" s="2" t="s">
        <v>715</v>
      </c>
      <c r="P483" s="4">
        <v>0</v>
      </c>
      <c r="Q483" s="4">
        <v>0</v>
      </c>
      <c r="R483" s="4">
        <v>0</v>
      </c>
      <c r="S483"/>
    </row>
    <row r="484" spans="1:19" x14ac:dyDescent="0.25">
      <c r="B484">
        <v>1</v>
      </c>
      <c r="C484" s="2" t="s">
        <v>22</v>
      </c>
      <c r="D484" s="2" t="s">
        <v>722</v>
      </c>
      <c r="E484" s="2" t="s">
        <v>719</v>
      </c>
      <c r="F484" s="2" t="s">
        <v>721</v>
      </c>
      <c r="G484" s="2" t="s">
        <v>17</v>
      </c>
      <c r="H484" s="2" t="s">
        <v>110</v>
      </c>
      <c r="I484" s="23">
        <f>J484/5000</f>
        <v>28.7698</v>
      </c>
      <c r="J484" s="1">
        <v>143849</v>
      </c>
      <c r="K484" s="3">
        <v>42943</v>
      </c>
      <c r="L484" s="4"/>
      <c r="M484" s="2" t="s">
        <v>718</v>
      </c>
      <c r="N484" s="2" t="s">
        <v>34</v>
      </c>
      <c r="O484" s="2" t="s">
        <v>715</v>
      </c>
      <c r="P484" s="4">
        <v>0</v>
      </c>
      <c r="Q484" s="4">
        <v>0</v>
      </c>
      <c r="R484" s="4">
        <v>0</v>
      </c>
      <c r="S484"/>
    </row>
    <row r="485" spans="1:19" x14ac:dyDescent="0.25">
      <c r="B485">
        <v>1</v>
      </c>
      <c r="C485" s="2" t="s">
        <v>22</v>
      </c>
      <c r="D485" s="2" t="s">
        <v>976</v>
      </c>
      <c r="E485" s="2" t="s">
        <v>977</v>
      </c>
      <c r="F485" s="2" t="s">
        <v>721</v>
      </c>
      <c r="G485" s="2" t="s">
        <v>17</v>
      </c>
      <c r="H485" s="2" t="s">
        <v>110</v>
      </c>
      <c r="I485" s="23">
        <f>J485/10511</f>
        <v>9.0758253258491113</v>
      </c>
      <c r="J485" s="1">
        <v>95396</v>
      </c>
      <c r="K485" s="3">
        <v>43003</v>
      </c>
      <c r="L485" s="4">
        <v>593600</v>
      </c>
      <c r="M485" s="2" t="s">
        <v>958</v>
      </c>
      <c r="N485" s="2" t="s">
        <v>978</v>
      </c>
      <c r="O485" s="2" t="s">
        <v>978</v>
      </c>
      <c r="P485" s="4">
        <v>272000</v>
      </c>
      <c r="Q485" s="4">
        <v>0</v>
      </c>
      <c r="R485" s="4">
        <v>0</v>
      </c>
      <c r="S485"/>
    </row>
    <row r="486" spans="1:19" x14ac:dyDescent="0.25">
      <c r="B486">
        <v>1</v>
      </c>
      <c r="C486" s="2" t="s">
        <v>22</v>
      </c>
      <c r="D486" s="2" t="s">
        <v>982</v>
      </c>
      <c r="E486" s="2" t="s">
        <v>983</v>
      </c>
      <c r="F486" s="2" t="s">
        <v>721</v>
      </c>
      <c r="G486" s="2" t="s">
        <v>17</v>
      </c>
      <c r="H486" s="2" t="s">
        <v>110</v>
      </c>
      <c r="I486" s="23">
        <f>J486/10511</f>
        <v>9.7389401579297878</v>
      </c>
      <c r="J486" s="1">
        <v>102366</v>
      </c>
      <c r="K486" s="3">
        <v>43003</v>
      </c>
      <c r="L486" s="4"/>
      <c r="M486" s="2" t="s">
        <v>958</v>
      </c>
      <c r="N486" s="2" t="s">
        <v>978</v>
      </c>
      <c r="O486" s="2" t="s">
        <v>978</v>
      </c>
      <c r="P486" s="4">
        <v>283000</v>
      </c>
      <c r="Q486" s="4">
        <v>0</v>
      </c>
      <c r="R486" s="4">
        <v>0</v>
      </c>
      <c r="S486"/>
    </row>
    <row r="487" spans="1:19" x14ac:dyDescent="0.25">
      <c r="B487">
        <v>1</v>
      </c>
      <c r="C487" s="2" t="s">
        <v>22</v>
      </c>
      <c r="D487" s="2" t="s">
        <v>984</v>
      </c>
      <c r="E487" s="2" t="s">
        <v>983</v>
      </c>
      <c r="F487" s="2" t="s">
        <v>721</v>
      </c>
      <c r="G487" s="2" t="s">
        <v>17</v>
      </c>
      <c r="H487" s="2" t="s">
        <v>110</v>
      </c>
      <c r="I487" s="23">
        <f>J487/10511</f>
        <v>11.645323946341927</v>
      </c>
      <c r="J487" s="1">
        <v>122404</v>
      </c>
      <c r="K487" s="3">
        <v>43003</v>
      </c>
      <c r="L487" s="4"/>
      <c r="M487" s="2" t="s">
        <v>985</v>
      </c>
      <c r="N487" s="2" t="s">
        <v>978</v>
      </c>
      <c r="O487" s="2" t="s">
        <v>978</v>
      </c>
      <c r="P487" s="4">
        <v>308000</v>
      </c>
      <c r="Q487" s="4">
        <v>0</v>
      </c>
      <c r="R487" s="4">
        <v>0</v>
      </c>
      <c r="S487"/>
    </row>
    <row r="488" spans="1:19" x14ac:dyDescent="0.25">
      <c r="B488">
        <v>1</v>
      </c>
      <c r="C488" s="2" t="s">
        <v>22</v>
      </c>
      <c r="D488" s="2" t="s">
        <v>1151</v>
      </c>
      <c r="E488" s="2" t="s">
        <v>1152</v>
      </c>
      <c r="F488" s="2" t="s">
        <v>1153</v>
      </c>
      <c r="G488" s="2" t="s">
        <v>17</v>
      </c>
      <c r="H488" s="2" t="s">
        <v>18</v>
      </c>
      <c r="I488" s="25"/>
      <c r="J488" s="1">
        <v>25464</v>
      </c>
      <c r="K488" s="3">
        <v>43070</v>
      </c>
      <c r="L488" s="4">
        <v>287500</v>
      </c>
      <c r="M488" s="2" t="s">
        <v>1154</v>
      </c>
      <c r="N488" s="2" t="s">
        <v>1155</v>
      </c>
      <c r="O488" s="2" t="s">
        <v>1155</v>
      </c>
      <c r="P488" s="4">
        <v>261000</v>
      </c>
      <c r="Q488" s="4">
        <v>0</v>
      </c>
      <c r="R488" s="4">
        <v>0</v>
      </c>
      <c r="S488"/>
    </row>
    <row r="489" spans="1:19" x14ac:dyDescent="0.25">
      <c r="B489"/>
      <c r="C489" s="2"/>
      <c r="D489" s="2"/>
      <c r="E489" s="2"/>
      <c r="F489" s="2"/>
      <c r="G489" s="2"/>
      <c r="H489" s="2"/>
      <c r="I489" s="23">
        <f>SUM(I2:I487)</f>
        <v>582.25168943012079</v>
      </c>
      <c r="J489" s="18">
        <f>SUM(J2:J488)</f>
        <v>3892552</v>
      </c>
      <c r="K489" s="3"/>
      <c r="L489" s="4"/>
      <c r="M489" s="2"/>
      <c r="N489" s="2"/>
      <c r="O489" s="2"/>
      <c r="P489" s="4"/>
      <c r="Q489" s="4"/>
      <c r="R489" s="4"/>
      <c r="S489"/>
    </row>
    <row r="490" spans="1:19" x14ac:dyDescent="0.25">
      <c r="B490">
        <f>SUM(B2:B482)</f>
        <v>481</v>
      </c>
      <c r="C490" s="2"/>
      <c r="D490" s="2"/>
      <c r="E490" s="2"/>
      <c r="F490" s="2"/>
      <c r="G490" s="2"/>
      <c r="H490" s="2"/>
      <c r="I490" s="2"/>
      <c r="K490" s="3"/>
      <c r="L490" s="19">
        <f>SUM(L2:L488)</f>
        <v>93025068</v>
      </c>
      <c r="M490" s="2" t="s">
        <v>1209</v>
      </c>
      <c r="N490" s="2"/>
      <c r="O490" s="2"/>
      <c r="P490" s="4">
        <f>SUM(P2:P488)</f>
        <v>17733100</v>
      </c>
      <c r="Q490" s="4"/>
      <c r="R490" s="4"/>
      <c r="S490"/>
    </row>
    <row r="491" spans="1:19" x14ac:dyDescent="0.25">
      <c r="A491" s="8" t="s">
        <v>137</v>
      </c>
      <c r="B491" s="8">
        <f>SUM(B2:B482)</f>
        <v>481</v>
      </c>
      <c r="J491" s="18">
        <f>MEDIAN(J2:J489)</f>
        <v>6311</v>
      </c>
      <c r="K491" s="8" t="s">
        <v>1210</v>
      </c>
      <c r="L491" s="19">
        <f>MEDIAN(L2:L490)</f>
        <v>428050</v>
      </c>
      <c r="M491" s="17" t="s">
        <v>1236</v>
      </c>
    </row>
    <row r="492" spans="1:19" ht="30" x14ac:dyDescent="0.25">
      <c r="J492" s="18">
        <f>J489/I489</f>
        <v>6685.3425600359142</v>
      </c>
      <c r="K492" s="8" t="s">
        <v>140</v>
      </c>
      <c r="L492" s="19">
        <f>L490/I489</f>
        <v>159767.79404633131</v>
      </c>
      <c r="M492" s="17" t="s">
        <v>139</v>
      </c>
      <c r="P492" s="22">
        <f>P490/J489</f>
        <v>4.5556488391163432</v>
      </c>
      <c r="Q492" s="8" t="s">
        <v>1220</v>
      </c>
    </row>
    <row r="493" spans="1:19" x14ac:dyDescent="0.25">
      <c r="A493" s="8" t="s">
        <v>138</v>
      </c>
      <c r="J493" s="17"/>
      <c r="M493" s="8"/>
    </row>
    <row r="494" spans="1:19" x14ac:dyDescent="0.25">
      <c r="P494" s="8" t="s">
        <v>1380</v>
      </c>
    </row>
    <row r="495" spans="1:19" ht="30" x14ac:dyDescent="0.25">
      <c r="K495" s="8" t="s">
        <v>1211</v>
      </c>
      <c r="L495" s="163">
        <f>L492/J492</f>
        <v>23.898221012847099</v>
      </c>
    </row>
    <row r="496" spans="1:19" x14ac:dyDescent="0.25">
      <c r="K496" s="8" t="s">
        <v>1212</v>
      </c>
      <c r="L496" s="163">
        <f>L491/J491</f>
        <v>67.826018063698299</v>
      </c>
      <c r="P496" s="25"/>
    </row>
    <row r="508" spans="3:19" x14ac:dyDescent="0.25">
      <c r="C508" s="8"/>
      <c r="D508" s="8"/>
      <c r="E508" s="8"/>
      <c r="F508" s="8"/>
      <c r="G508" s="8"/>
      <c r="H508" s="8"/>
      <c r="I508" s="8"/>
      <c r="J508" s="8"/>
      <c r="L508" s="8"/>
      <c r="M508" s="8"/>
      <c r="N508" s="8"/>
      <c r="O508" s="8"/>
      <c r="S508"/>
    </row>
    <row r="509" spans="3:19" x14ac:dyDescent="0.25">
      <c r="C509" s="8"/>
      <c r="D509" s="8"/>
      <c r="E509" s="8"/>
      <c r="F509" s="8"/>
      <c r="G509" s="8"/>
      <c r="H509" s="8"/>
      <c r="I509" s="8"/>
      <c r="J509" s="8"/>
      <c r="L509" s="8"/>
      <c r="M509" s="8"/>
      <c r="N509" s="8"/>
      <c r="O509" s="8"/>
      <c r="S509"/>
    </row>
    <row r="510" spans="3:19" x14ac:dyDescent="0.25">
      <c r="C510" s="8"/>
      <c r="D510" s="8"/>
      <c r="E510" s="8"/>
      <c r="F510" s="8"/>
      <c r="G510" s="8"/>
      <c r="H510" s="8"/>
      <c r="I510" s="8"/>
      <c r="J510" s="8"/>
      <c r="L510" s="8"/>
      <c r="M510" s="8"/>
      <c r="N510" s="8"/>
      <c r="O510" s="8"/>
      <c r="S510"/>
    </row>
    <row r="511" spans="3:19" x14ac:dyDescent="0.25">
      <c r="C511" s="8"/>
      <c r="D511" s="8"/>
      <c r="E511" s="8"/>
      <c r="F511" s="8"/>
      <c r="G511" s="8"/>
      <c r="H511" s="8"/>
      <c r="I511" s="8"/>
      <c r="J511" s="8"/>
      <c r="L511" s="8"/>
      <c r="M511" s="8"/>
      <c r="N511" s="8"/>
      <c r="O511" s="8"/>
      <c r="S511"/>
    </row>
    <row r="512" spans="3:19" x14ac:dyDescent="0.25">
      <c r="C512" s="8"/>
      <c r="D512" s="8"/>
      <c r="E512" s="8"/>
      <c r="F512" s="8"/>
      <c r="G512" s="8"/>
      <c r="H512" s="8"/>
      <c r="I512" s="8"/>
      <c r="J512" s="8"/>
      <c r="L512" s="8"/>
      <c r="M512" s="8"/>
      <c r="N512" s="8"/>
      <c r="O512" s="8"/>
      <c r="S512"/>
    </row>
    <row r="513" spans="3:19" x14ac:dyDescent="0.25">
      <c r="C513" s="8"/>
      <c r="D513" s="8"/>
      <c r="E513" s="8"/>
      <c r="F513" s="8"/>
      <c r="G513" s="8"/>
      <c r="H513" s="8"/>
      <c r="I513" s="8"/>
      <c r="J513" s="8"/>
      <c r="L513" s="8"/>
      <c r="M513" s="8"/>
      <c r="N513" s="8"/>
      <c r="O513" s="8"/>
      <c r="S513"/>
    </row>
    <row r="514" spans="3:19" x14ac:dyDescent="0.25">
      <c r="C514" s="8"/>
      <c r="D514" s="8"/>
      <c r="E514" s="8"/>
      <c r="F514" s="8"/>
      <c r="G514" s="8"/>
      <c r="H514" s="8"/>
      <c r="I514" s="8"/>
      <c r="J514" s="8"/>
      <c r="L514" s="8"/>
      <c r="M514" s="8"/>
      <c r="N514" s="8"/>
      <c r="O514" s="8"/>
      <c r="S514"/>
    </row>
    <row r="515" spans="3:19" x14ac:dyDescent="0.25">
      <c r="C515" s="8"/>
      <c r="D515" s="8"/>
      <c r="E515" s="8"/>
      <c r="F515" s="8"/>
      <c r="G515" s="8"/>
      <c r="H515" s="8"/>
      <c r="I515" s="8"/>
      <c r="J515" s="8"/>
      <c r="L515" s="8"/>
      <c r="M515" s="8"/>
      <c r="N515" s="8"/>
      <c r="O515" s="8"/>
      <c r="S515"/>
    </row>
    <row r="516" spans="3:19" x14ac:dyDescent="0.25">
      <c r="C516" s="8"/>
      <c r="D516" s="8"/>
      <c r="E516" s="8"/>
      <c r="F516" s="8"/>
      <c r="G516" s="8"/>
      <c r="H516" s="8"/>
      <c r="I516" s="8"/>
      <c r="J516" s="8"/>
      <c r="L516" s="8"/>
      <c r="M516" s="8"/>
      <c r="N516" s="8"/>
      <c r="O516" s="8"/>
      <c r="S516"/>
    </row>
  </sheetData>
  <sortState ref="C2:Z312">
    <sortCondition ref="C2"/>
  </sortState>
  <pageMargins left="0.7" right="0.7" top="0.75" bottom="0.75" header="0.3" footer="0.3"/>
  <pageSetup orientation="portrait" r:id="rId1"/>
  <ignoredErrors>
    <ignoredError sqref="D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8"/>
  <sheetViews>
    <sheetView topLeftCell="I1" workbookViewId="0">
      <selection activeCell="P494" sqref="P494"/>
    </sheetView>
  </sheetViews>
  <sheetFormatPr defaultRowHeight="15" x14ac:dyDescent="0.25"/>
  <cols>
    <col min="3" max="3" width="16.28515625" customWidth="1"/>
    <col min="4" max="4" width="21.28515625" customWidth="1"/>
    <col min="5" max="5" width="26.7109375" customWidth="1"/>
    <col min="6" max="6" width="38.28515625" customWidth="1"/>
    <col min="7" max="7" width="17.85546875" customWidth="1"/>
    <col min="8" max="8" width="36.28515625" customWidth="1"/>
    <col min="9" max="10" width="24.28515625" customWidth="1"/>
    <col min="11" max="11" width="19.28515625" customWidth="1"/>
    <col min="12" max="12" width="14.140625" customWidth="1"/>
    <col min="13" max="13" width="42.28515625" customWidth="1"/>
    <col min="14" max="14" width="40" customWidth="1"/>
    <col min="15" max="15" width="47.85546875" customWidth="1"/>
    <col min="16" max="16" width="17.42578125" customWidth="1"/>
    <col min="17" max="17" width="15" customWidth="1"/>
  </cols>
  <sheetData>
    <row r="1" spans="2:19" x14ac:dyDescent="0.25">
      <c r="C1" s="6" t="s">
        <v>2</v>
      </c>
      <c r="D1" s="6" t="s">
        <v>0</v>
      </c>
      <c r="E1" s="6" t="s">
        <v>1</v>
      </c>
      <c r="F1" s="6" t="s">
        <v>3</v>
      </c>
      <c r="G1" s="6" t="s">
        <v>4</v>
      </c>
      <c r="H1" s="6" t="s">
        <v>5</v>
      </c>
      <c r="I1" s="6" t="s">
        <v>143</v>
      </c>
      <c r="J1" s="7" t="s">
        <v>6</v>
      </c>
      <c r="K1" s="7" t="s">
        <v>7</v>
      </c>
      <c r="L1" s="7" t="s">
        <v>8</v>
      </c>
      <c r="M1" s="6" t="s">
        <v>9</v>
      </c>
      <c r="N1" s="6" t="s">
        <v>10</v>
      </c>
      <c r="O1" s="6" t="s">
        <v>11</v>
      </c>
      <c r="P1" s="7" t="s">
        <v>12</v>
      </c>
      <c r="Q1" s="7" t="s">
        <v>13</v>
      </c>
    </row>
    <row r="2" spans="2:19" s="8" customFormat="1" ht="30" x14ac:dyDescent="0.25">
      <c r="B2" s="8">
        <v>1</v>
      </c>
      <c r="C2" s="12" t="s">
        <v>22</v>
      </c>
      <c r="D2" s="12" t="s">
        <v>119</v>
      </c>
      <c r="E2" s="12" t="s">
        <v>120</v>
      </c>
      <c r="F2" s="12" t="s">
        <v>121</v>
      </c>
      <c r="G2" s="12" t="s">
        <v>17</v>
      </c>
      <c r="H2" s="12" t="s">
        <v>18</v>
      </c>
      <c r="I2" s="12" t="s">
        <v>1206</v>
      </c>
      <c r="J2" s="13">
        <v>407181</v>
      </c>
      <c r="K2" s="14">
        <v>43165</v>
      </c>
      <c r="L2" s="15">
        <v>4160000</v>
      </c>
      <c r="M2" s="12" t="s">
        <v>122</v>
      </c>
      <c r="N2" s="12" t="s">
        <v>123</v>
      </c>
      <c r="O2" s="12" t="s">
        <v>123</v>
      </c>
      <c r="P2" s="16">
        <v>555000</v>
      </c>
      <c r="Q2" s="16">
        <v>0</v>
      </c>
    </row>
    <row r="3" spans="2:19" s="8" customFormat="1" ht="15" customHeight="1" x14ac:dyDescent="0.25">
      <c r="B3" s="8">
        <v>1</v>
      </c>
      <c r="C3" s="12" t="s">
        <v>22</v>
      </c>
      <c r="D3" s="12" t="s">
        <v>124</v>
      </c>
      <c r="E3" s="12" t="s">
        <v>125</v>
      </c>
      <c r="F3" s="12" t="s">
        <v>121</v>
      </c>
      <c r="G3" s="12" t="s">
        <v>17</v>
      </c>
      <c r="H3" s="12" t="s">
        <v>18</v>
      </c>
      <c r="I3" s="12"/>
      <c r="J3" s="13">
        <v>173368</v>
      </c>
      <c r="K3" s="14">
        <v>43165</v>
      </c>
      <c r="L3" s="15"/>
      <c r="M3" s="12" t="s">
        <v>122</v>
      </c>
      <c r="N3" s="12" t="s">
        <v>123</v>
      </c>
      <c r="O3" s="12" t="s">
        <v>123</v>
      </c>
      <c r="P3" s="16">
        <v>370000</v>
      </c>
      <c r="Q3" s="16">
        <v>0</v>
      </c>
    </row>
    <row r="4" spans="2:19" x14ac:dyDescent="0.25">
      <c r="B4">
        <v>1</v>
      </c>
      <c r="C4" s="2" t="s">
        <v>22</v>
      </c>
      <c r="D4" s="2" t="s">
        <v>154</v>
      </c>
      <c r="E4" s="2" t="s">
        <v>155</v>
      </c>
      <c r="F4" s="2" t="s">
        <v>156</v>
      </c>
      <c r="G4" s="2" t="s">
        <v>17</v>
      </c>
      <c r="H4" s="2" t="s">
        <v>19</v>
      </c>
      <c r="I4" s="2"/>
      <c r="J4" s="1">
        <v>365477</v>
      </c>
      <c r="K4" s="3">
        <v>42760</v>
      </c>
      <c r="L4" s="4">
        <v>3680000</v>
      </c>
      <c r="M4" s="2" t="s">
        <v>157</v>
      </c>
      <c r="N4" s="2" t="s">
        <v>158</v>
      </c>
      <c r="O4" s="2" t="s">
        <v>158</v>
      </c>
      <c r="P4" s="4">
        <v>1095000</v>
      </c>
      <c r="Q4" s="4">
        <v>0</v>
      </c>
    </row>
    <row r="5" spans="2:19" x14ac:dyDescent="0.25">
      <c r="B5">
        <v>1</v>
      </c>
      <c r="C5" s="2" t="s">
        <v>22</v>
      </c>
      <c r="D5" s="2" t="s">
        <v>163</v>
      </c>
      <c r="E5" s="2" t="s">
        <v>164</v>
      </c>
      <c r="F5" s="2" t="s">
        <v>165</v>
      </c>
      <c r="G5" s="2" t="s">
        <v>17</v>
      </c>
      <c r="H5" s="2" t="s">
        <v>18</v>
      </c>
      <c r="I5" s="2"/>
      <c r="J5" s="1">
        <v>35694</v>
      </c>
      <c r="K5" s="3">
        <v>42789</v>
      </c>
      <c r="L5" s="4">
        <v>45000</v>
      </c>
      <c r="M5" s="2" t="s">
        <v>166</v>
      </c>
      <c r="N5" s="2" t="s">
        <v>167</v>
      </c>
      <c r="O5" s="2" t="s">
        <v>168</v>
      </c>
      <c r="P5" s="4">
        <v>149000</v>
      </c>
      <c r="Q5" s="4">
        <v>0</v>
      </c>
    </row>
    <row r="6" spans="2:19" x14ac:dyDescent="0.25">
      <c r="B6">
        <v>1</v>
      </c>
      <c r="C6" s="2" t="s">
        <v>22</v>
      </c>
      <c r="D6" s="2" t="s">
        <v>169</v>
      </c>
      <c r="E6" s="2" t="s">
        <v>170</v>
      </c>
      <c r="F6" s="2" t="s">
        <v>171</v>
      </c>
      <c r="G6" s="2" t="s">
        <v>17</v>
      </c>
      <c r="H6" s="2" t="s">
        <v>18</v>
      </c>
      <c r="I6" s="2"/>
      <c r="J6" s="1">
        <v>48035</v>
      </c>
      <c r="K6" s="3">
        <v>42789</v>
      </c>
      <c r="L6" s="4"/>
      <c r="M6" s="2" t="s">
        <v>166</v>
      </c>
      <c r="N6" s="2" t="s">
        <v>167</v>
      </c>
      <c r="O6" s="2" t="s">
        <v>168</v>
      </c>
      <c r="P6" s="4">
        <v>149000</v>
      </c>
      <c r="Q6" s="4">
        <v>0</v>
      </c>
    </row>
    <row r="7" spans="2:19" x14ac:dyDescent="0.25">
      <c r="B7">
        <v>1</v>
      </c>
      <c r="C7" s="2" t="s">
        <v>22</v>
      </c>
      <c r="D7" s="2" t="s">
        <v>249</v>
      </c>
      <c r="E7" s="2" t="s">
        <v>250</v>
      </c>
      <c r="F7" s="2" t="s">
        <v>171</v>
      </c>
      <c r="G7" s="2" t="s">
        <v>17</v>
      </c>
      <c r="H7" s="2" t="s">
        <v>18</v>
      </c>
      <c r="I7" s="2"/>
      <c r="J7" s="1">
        <v>31065</v>
      </c>
      <c r="K7" s="3">
        <v>42822</v>
      </c>
      <c r="L7" s="4">
        <v>362300</v>
      </c>
      <c r="M7" s="2" t="s">
        <v>166</v>
      </c>
      <c r="N7" s="2" t="s">
        <v>168</v>
      </c>
      <c r="O7" s="2" t="s">
        <v>168</v>
      </c>
      <c r="P7" s="4">
        <v>127000</v>
      </c>
      <c r="Q7" s="4">
        <v>0</v>
      </c>
    </row>
    <row r="8" spans="2:19" x14ac:dyDescent="0.25">
      <c r="B8">
        <v>1</v>
      </c>
      <c r="C8" s="2" t="s">
        <v>22</v>
      </c>
      <c r="D8" s="2" t="s">
        <v>169</v>
      </c>
      <c r="E8" s="2" t="s">
        <v>170</v>
      </c>
      <c r="F8" s="2" t="s">
        <v>171</v>
      </c>
      <c r="G8" s="2" t="s">
        <v>17</v>
      </c>
      <c r="H8" s="2" t="s">
        <v>18</v>
      </c>
      <c r="I8" s="2"/>
      <c r="J8" s="1">
        <v>48035</v>
      </c>
      <c r="K8" s="3">
        <v>42822</v>
      </c>
      <c r="L8" s="4"/>
      <c r="M8" s="2" t="s">
        <v>167</v>
      </c>
      <c r="N8" s="2" t="s">
        <v>166</v>
      </c>
      <c r="O8" s="2" t="s">
        <v>168</v>
      </c>
      <c r="P8" s="4">
        <v>149000</v>
      </c>
      <c r="Q8" s="4">
        <v>0</v>
      </c>
    </row>
    <row r="9" spans="2:19" x14ac:dyDescent="0.25">
      <c r="B9">
        <v>1</v>
      </c>
      <c r="C9" s="2" t="s">
        <v>22</v>
      </c>
      <c r="D9" s="2" t="s">
        <v>169</v>
      </c>
      <c r="E9" s="2" t="s">
        <v>170</v>
      </c>
      <c r="F9" s="2" t="s">
        <v>171</v>
      </c>
      <c r="G9" s="2" t="s">
        <v>17</v>
      </c>
      <c r="H9" s="2" t="s">
        <v>18</v>
      </c>
      <c r="I9" s="2"/>
      <c r="J9" s="1">
        <v>48035</v>
      </c>
      <c r="K9" s="3">
        <v>42822</v>
      </c>
      <c r="L9" s="4">
        <v>362300</v>
      </c>
      <c r="M9" s="2" t="s">
        <v>166</v>
      </c>
      <c r="N9" s="2" t="s">
        <v>168</v>
      </c>
      <c r="O9" s="2" t="s">
        <v>168</v>
      </c>
      <c r="P9" s="4">
        <v>149000</v>
      </c>
      <c r="Q9" s="4">
        <v>0</v>
      </c>
    </row>
    <row r="10" spans="2:19" x14ac:dyDescent="0.25">
      <c r="B10">
        <v>1</v>
      </c>
      <c r="C10" s="2" t="s">
        <v>22</v>
      </c>
      <c r="D10" s="2" t="s">
        <v>894</v>
      </c>
      <c r="E10" s="2" t="s">
        <v>895</v>
      </c>
      <c r="F10" s="2" t="s">
        <v>23</v>
      </c>
      <c r="G10" s="2" t="s">
        <v>896</v>
      </c>
      <c r="H10" s="2" t="s">
        <v>897</v>
      </c>
      <c r="I10" s="2"/>
      <c r="J10" s="1">
        <v>34234</v>
      </c>
      <c r="K10" s="3">
        <v>42957</v>
      </c>
      <c r="L10" s="4">
        <v>1120000</v>
      </c>
      <c r="M10" s="2" t="s">
        <v>25</v>
      </c>
      <c r="N10" s="2" t="s">
        <v>26</v>
      </c>
      <c r="O10" s="2" t="s">
        <v>26</v>
      </c>
      <c r="P10" s="4">
        <v>63000</v>
      </c>
      <c r="Q10" s="4">
        <v>0</v>
      </c>
    </row>
    <row r="11" spans="2:19" x14ac:dyDescent="0.25">
      <c r="B11">
        <v>1</v>
      </c>
      <c r="C11" s="2" t="s">
        <v>22</v>
      </c>
      <c r="D11" s="2" t="s">
        <v>961</v>
      </c>
      <c r="E11" s="2" t="s">
        <v>962</v>
      </c>
      <c r="F11" s="2" t="s">
        <v>963</v>
      </c>
      <c r="G11" s="2" t="s">
        <v>16</v>
      </c>
      <c r="H11" s="2" t="s">
        <v>897</v>
      </c>
      <c r="I11" s="2"/>
      <c r="J11" s="1">
        <v>1555</v>
      </c>
      <c r="K11" s="3">
        <v>42996</v>
      </c>
      <c r="L11" s="4">
        <v>3300000</v>
      </c>
      <c r="M11" s="2" t="s">
        <v>964</v>
      </c>
      <c r="N11" s="2" t="s">
        <v>965</v>
      </c>
      <c r="O11" s="2" t="s">
        <v>965</v>
      </c>
      <c r="P11" s="4">
        <v>3000</v>
      </c>
      <c r="Q11" s="4">
        <v>0</v>
      </c>
    </row>
    <row r="12" spans="2:19" x14ac:dyDescent="0.25">
      <c r="B12">
        <v>1</v>
      </c>
      <c r="C12" s="2" t="s">
        <v>22</v>
      </c>
      <c r="D12" s="2" t="s">
        <v>966</v>
      </c>
      <c r="E12" s="2" t="s">
        <v>967</v>
      </c>
      <c r="F12" s="2" t="s">
        <v>963</v>
      </c>
      <c r="G12" s="2" t="s">
        <v>16</v>
      </c>
      <c r="H12" s="2" t="s">
        <v>897</v>
      </c>
      <c r="I12" s="2"/>
      <c r="J12" s="1">
        <v>11312</v>
      </c>
      <c r="K12" s="3">
        <v>42996</v>
      </c>
      <c r="L12" s="4"/>
      <c r="M12" s="2" t="s">
        <v>964</v>
      </c>
      <c r="N12" s="2" t="s">
        <v>965</v>
      </c>
      <c r="O12" s="2" t="s">
        <v>965</v>
      </c>
      <c r="P12" s="4">
        <v>37000</v>
      </c>
      <c r="Q12" s="4">
        <v>0</v>
      </c>
    </row>
    <row r="13" spans="2:19" x14ac:dyDescent="0.25">
      <c r="B13">
        <v>1</v>
      </c>
      <c r="C13" s="2" t="s">
        <v>22</v>
      </c>
      <c r="D13" s="2" t="s">
        <v>1024</v>
      </c>
      <c r="E13" s="2" t="s">
        <v>924</v>
      </c>
      <c r="F13" s="2" t="s">
        <v>1025</v>
      </c>
      <c r="G13" s="2" t="s">
        <v>17</v>
      </c>
      <c r="H13" s="2" t="s">
        <v>18</v>
      </c>
      <c r="I13" s="2"/>
      <c r="J13" s="1">
        <v>15194</v>
      </c>
      <c r="K13" s="3">
        <v>43026</v>
      </c>
      <c r="L13" s="4">
        <v>10000</v>
      </c>
      <c r="M13" s="2" t="s">
        <v>1026</v>
      </c>
      <c r="N13" s="2" t="s">
        <v>1027</v>
      </c>
      <c r="O13" s="2" t="s">
        <v>1028</v>
      </c>
      <c r="P13" s="4">
        <v>14000</v>
      </c>
      <c r="Q13" s="4">
        <v>0</v>
      </c>
    </row>
    <row r="14" spans="2:19" s="8" customFormat="1" x14ac:dyDescent="0.25">
      <c r="B14">
        <v>1</v>
      </c>
      <c r="C14" s="2" t="s">
        <v>22</v>
      </c>
      <c r="D14" s="2" t="s">
        <v>154</v>
      </c>
      <c r="E14" s="2" t="s">
        <v>155</v>
      </c>
      <c r="F14" s="2" t="s">
        <v>156</v>
      </c>
      <c r="G14" s="2" t="s">
        <v>17</v>
      </c>
      <c r="H14" s="2" t="s">
        <v>19</v>
      </c>
      <c r="I14" s="2"/>
      <c r="J14" s="1">
        <v>365477</v>
      </c>
      <c r="K14" s="3">
        <v>42760</v>
      </c>
      <c r="L14" s="4">
        <v>3680000</v>
      </c>
      <c r="M14" s="2" t="s">
        <v>157</v>
      </c>
      <c r="N14" s="2" t="s">
        <v>158</v>
      </c>
      <c r="O14" s="2" t="s">
        <v>158</v>
      </c>
      <c r="P14" s="4">
        <v>1095000</v>
      </c>
      <c r="Q14" s="4">
        <v>0</v>
      </c>
      <c r="R14" s="4">
        <v>0</v>
      </c>
      <c r="S14"/>
    </row>
    <row r="15" spans="2:19" s="8" customFormat="1" x14ac:dyDescent="0.25">
      <c r="B15">
        <v>1</v>
      </c>
      <c r="C15" s="2" t="s">
        <v>22</v>
      </c>
      <c r="D15" s="2" t="s">
        <v>135</v>
      </c>
      <c r="E15" s="2" t="s">
        <v>136</v>
      </c>
      <c r="F15" s="2" t="s">
        <v>23</v>
      </c>
      <c r="G15" s="2" t="s">
        <v>17</v>
      </c>
      <c r="H15" s="2" t="s">
        <v>24</v>
      </c>
      <c r="I15" s="2" t="s">
        <v>1207</v>
      </c>
      <c r="J15" s="1">
        <v>17416</v>
      </c>
      <c r="K15" s="3">
        <v>42817</v>
      </c>
      <c r="L15" s="4">
        <v>2000000</v>
      </c>
      <c r="M15" s="2" t="s">
        <v>196</v>
      </c>
      <c r="N15" s="2" t="s">
        <v>25</v>
      </c>
      <c r="O15" s="2" t="s">
        <v>25</v>
      </c>
      <c r="P15" s="4">
        <v>43000</v>
      </c>
      <c r="Q15" s="4">
        <v>0</v>
      </c>
      <c r="R15" s="4">
        <v>0</v>
      </c>
      <c r="S15"/>
    </row>
    <row r="16" spans="2:19" s="8" customFormat="1" x14ac:dyDescent="0.25">
      <c r="B16">
        <v>1</v>
      </c>
      <c r="C16" s="2" t="s">
        <v>22</v>
      </c>
      <c r="D16" s="2" t="s">
        <v>27</v>
      </c>
      <c r="E16" s="2" t="s">
        <v>28</v>
      </c>
      <c r="F16" s="2" t="s">
        <v>23</v>
      </c>
      <c r="G16" s="2" t="s">
        <v>17</v>
      </c>
      <c r="H16" s="2" t="s">
        <v>24</v>
      </c>
      <c r="I16" s="2"/>
      <c r="J16" s="1">
        <v>21227</v>
      </c>
      <c r="K16" s="3">
        <v>42817</v>
      </c>
      <c r="L16" s="4"/>
      <c r="M16" s="2" t="s">
        <v>196</v>
      </c>
      <c r="N16" s="2" t="s">
        <v>25</v>
      </c>
      <c r="O16" s="2" t="s">
        <v>26</v>
      </c>
      <c r="P16" s="4">
        <v>47000</v>
      </c>
      <c r="Q16" s="4">
        <v>0</v>
      </c>
      <c r="R16" s="4">
        <v>0</v>
      </c>
      <c r="S16"/>
    </row>
    <row r="17" spans="2:19" s="8" customFormat="1" x14ac:dyDescent="0.25">
      <c r="B17">
        <v>1</v>
      </c>
      <c r="C17" s="2" t="s">
        <v>22</v>
      </c>
      <c r="D17" s="2" t="s">
        <v>163</v>
      </c>
      <c r="E17" s="2" t="s">
        <v>164</v>
      </c>
      <c r="F17" s="2" t="s">
        <v>165</v>
      </c>
      <c r="G17" s="2" t="s">
        <v>17</v>
      </c>
      <c r="H17" s="2" t="s">
        <v>18</v>
      </c>
      <c r="I17" s="2"/>
      <c r="J17" s="1">
        <v>35694</v>
      </c>
      <c r="K17" s="3">
        <v>42822</v>
      </c>
      <c r="L17" s="4">
        <v>45000</v>
      </c>
      <c r="M17" s="2" t="s">
        <v>167</v>
      </c>
      <c r="N17" s="2" t="s">
        <v>166</v>
      </c>
      <c r="O17" s="2" t="s">
        <v>168</v>
      </c>
      <c r="P17" s="4">
        <v>149000</v>
      </c>
      <c r="Q17" s="4">
        <v>0</v>
      </c>
      <c r="R17" s="4">
        <v>0</v>
      </c>
      <c r="S17"/>
    </row>
    <row r="18" spans="2:19" s="8" customFormat="1" x14ac:dyDescent="0.25">
      <c r="B18">
        <v>1</v>
      </c>
      <c r="C18" s="2" t="s">
        <v>22</v>
      </c>
      <c r="D18" s="2" t="s">
        <v>163</v>
      </c>
      <c r="E18" s="2" t="s">
        <v>164</v>
      </c>
      <c r="F18" s="2" t="s">
        <v>165</v>
      </c>
      <c r="G18" s="2" t="s">
        <v>17</v>
      </c>
      <c r="H18" s="2" t="s">
        <v>18</v>
      </c>
      <c r="I18" s="2"/>
      <c r="J18" s="1">
        <v>35694</v>
      </c>
      <c r="K18" s="3">
        <v>42822</v>
      </c>
      <c r="L18" s="4">
        <v>362300</v>
      </c>
      <c r="M18" s="2" t="s">
        <v>166</v>
      </c>
      <c r="N18" s="2" t="s">
        <v>168</v>
      </c>
      <c r="O18" s="2" t="s">
        <v>168</v>
      </c>
      <c r="P18" s="4">
        <v>149000</v>
      </c>
      <c r="Q18" s="4">
        <v>0</v>
      </c>
      <c r="R18" s="4">
        <v>0</v>
      </c>
      <c r="S18"/>
    </row>
    <row r="19" spans="2:19" s="8" customFormat="1" x14ac:dyDescent="0.25">
      <c r="B19">
        <v>1</v>
      </c>
      <c r="C19" s="2" t="s">
        <v>22</v>
      </c>
      <c r="D19" s="2" t="s">
        <v>249</v>
      </c>
      <c r="E19" s="2" t="s">
        <v>250</v>
      </c>
      <c r="F19" s="2" t="s">
        <v>171</v>
      </c>
      <c r="G19" s="2" t="s">
        <v>17</v>
      </c>
      <c r="H19" s="2" t="s">
        <v>18</v>
      </c>
      <c r="I19" s="2"/>
      <c r="J19" s="1">
        <v>31065</v>
      </c>
      <c r="K19" s="3">
        <v>42822</v>
      </c>
      <c r="L19" s="4"/>
      <c r="M19" s="2" t="s">
        <v>166</v>
      </c>
      <c r="N19" s="2" t="s">
        <v>168</v>
      </c>
      <c r="O19" s="2" t="s">
        <v>168</v>
      </c>
      <c r="P19" s="4">
        <v>127000</v>
      </c>
      <c r="Q19" s="4">
        <v>0</v>
      </c>
      <c r="R19" s="4">
        <v>0</v>
      </c>
      <c r="S19"/>
    </row>
    <row r="20" spans="2:19" s="8" customFormat="1" x14ac:dyDescent="0.25">
      <c r="B20">
        <v>1</v>
      </c>
      <c r="C20" s="2" t="s">
        <v>22</v>
      </c>
      <c r="D20" s="2" t="s">
        <v>169</v>
      </c>
      <c r="E20" s="2" t="s">
        <v>170</v>
      </c>
      <c r="F20" s="2" t="s">
        <v>171</v>
      </c>
      <c r="G20" s="2" t="s">
        <v>17</v>
      </c>
      <c r="H20" s="2" t="s">
        <v>18</v>
      </c>
      <c r="I20" s="2"/>
      <c r="J20" s="1">
        <v>48035</v>
      </c>
      <c r="K20" s="3">
        <v>42822</v>
      </c>
      <c r="L20" s="4"/>
      <c r="M20" s="2" t="s">
        <v>167</v>
      </c>
      <c r="N20" s="2" t="s">
        <v>166</v>
      </c>
      <c r="O20" s="2" t="s">
        <v>168</v>
      </c>
      <c r="P20" s="4">
        <v>149000</v>
      </c>
      <c r="Q20" s="4">
        <v>0</v>
      </c>
      <c r="R20" s="4">
        <v>0</v>
      </c>
      <c r="S20"/>
    </row>
    <row r="21" spans="2:19" s="8" customFormat="1" x14ac:dyDescent="0.25">
      <c r="B21">
        <v>1</v>
      </c>
      <c r="C21" s="2" t="s">
        <v>22</v>
      </c>
      <c r="D21" s="2" t="s">
        <v>169</v>
      </c>
      <c r="E21" s="2" t="s">
        <v>170</v>
      </c>
      <c r="F21" s="2" t="s">
        <v>171</v>
      </c>
      <c r="G21" s="2" t="s">
        <v>17</v>
      </c>
      <c r="H21" s="2" t="s">
        <v>18</v>
      </c>
      <c r="I21" s="2"/>
      <c r="J21" s="1">
        <v>48035</v>
      </c>
      <c r="K21" s="3">
        <v>42822</v>
      </c>
      <c r="L21" s="4">
        <v>362300</v>
      </c>
      <c r="M21" s="2" t="s">
        <v>166</v>
      </c>
      <c r="N21" s="2" t="s">
        <v>168</v>
      </c>
      <c r="O21" s="2" t="s">
        <v>168</v>
      </c>
      <c r="P21" s="4">
        <v>149000</v>
      </c>
      <c r="Q21" s="4">
        <v>0</v>
      </c>
      <c r="R21" s="4">
        <v>0</v>
      </c>
      <c r="S21"/>
    </row>
    <row r="22" spans="2:19" s="8" customFormat="1" x14ac:dyDescent="0.25">
      <c r="B22">
        <v>1</v>
      </c>
      <c r="C22" s="2" t="s">
        <v>22</v>
      </c>
      <c r="D22" s="2" t="s">
        <v>712</v>
      </c>
      <c r="E22" s="2" t="s">
        <v>713</v>
      </c>
      <c r="F22" s="2" t="s">
        <v>714</v>
      </c>
      <c r="G22" s="2" t="s">
        <v>17</v>
      </c>
      <c r="H22" s="2" t="s">
        <v>24</v>
      </c>
      <c r="I22" s="2"/>
      <c r="J22" s="1">
        <v>280746</v>
      </c>
      <c r="K22" s="3">
        <v>42943</v>
      </c>
      <c r="L22" s="4">
        <v>1386000</v>
      </c>
      <c r="M22" s="2" t="s">
        <v>715</v>
      </c>
      <c r="N22" s="2" t="s">
        <v>716</v>
      </c>
      <c r="O22" s="2" t="s">
        <v>717</v>
      </c>
      <c r="P22" s="4">
        <v>113100</v>
      </c>
      <c r="Q22" s="4">
        <v>0</v>
      </c>
      <c r="R22" s="4">
        <v>0</v>
      </c>
      <c r="S22"/>
    </row>
    <row r="23" spans="2:19" s="8" customFormat="1" x14ac:dyDescent="0.25">
      <c r="B23">
        <v>1</v>
      </c>
      <c r="C23" s="2" t="s">
        <v>22</v>
      </c>
      <c r="D23" s="2" t="s">
        <v>1094</v>
      </c>
      <c r="E23" s="2" t="s">
        <v>1095</v>
      </c>
      <c r="F23" s="2" t="s">
        <v>106</v>
      </c>
      <c r="G23" s="2" t="s">
        <v>17</v>
      </c>
      <c r="H23" s="2" t="s">
        <v>24</v>
      </c>
      <c r="I23" s="2"/>
      <c r="J23" s="1">
        <v>49117</v>
      </c>
      <c r="K23" s="3">
        <v>43056</v>
      </c>
      <c r="L23" s="4">
        <v>2500000</v>
      </c>
      <c r="M23" s="2" t="s">
        <v>1096</v>
      </c>
      <c r="N23" s="2" t="s">
        <v>1097</v>
      </c>
      <c r="O23" s="2" t="s">
        <v>1097</v>
      </c>
      <c r="P23" s="4">
        <v>176000</v>
      </c>
      <c r="Q23" s="4">
        <v>0</v>
      </c>
      <c r="R23" s="4">
        <v>0</v>
      </c>
      <c r="S23"/>
    </row>
    <row r="24" spans="2:19" x14ac:dyDescent="0.25">
      <c r="B24">
        <f>SUM(B2:B23)</f>
        <v>22</v>
      </c>
      <c r="C24" s="2"/>
      <c r="D24" s="2"/>
      <c r="E24" s="2"/>
      <c r="F24" s="2"/>
      <c r="G24" s="2"/>
      <c r="H24" s="2"/>
      <c r="I24" s="2"/>
      <c r="J24" s="23">
        <f>SUM(J2:J23)</f>
        <v>2151691</v>
      </c>
      <c r="K24" s="3" t="s">
        <v>1243</v>
      </c>
      <c r="L24" s="4">
        <f>SUM(L2:L23)</f>
        <v>23375200</v>
      </c>
      <c r="M24" s="2"/>
      <c r="N24" s="2"/>
      <c r="O24" s="2"/>
      <c r="P24" s="4">
        <f>SUM(P2:P23)</f>
        <v>5057100</v>
      </c>
      <c r="Q24" s="4"/>
    </row>
    <row r="26" spans="2:19" x14ac:dyDescent="0.25">
      <c r="J26">
        <f>J24/43560</f>
        <v>49.39602846648301</v>
      </c>
      <c r="K26" t="s">
        <v>1223</v>
      </c>
      <c r="L26" s="24">
        <f>L24/J26</f>
        <v>473220.23097182636</v>
      </c>
      <c r="M26" s="2" t="s">
        <v>1237</v>
      </c>
      <c r="P26" s="24">
        <f>P24/J26</f>
        <v>102378.67612031654</v>
      </c>
      <c r="Q26" t="s">
        <v>1224</v>
      </c>
    </row>
    <row r="28" spans="2:19" x14ac:dyDescent="0.25">
      <c r="J28" s="24">
        <f>L24/J24</f>
        <v>10.863641666019889</v>
      </c>
      <c r="K28" t="s">
        <v>1244</v>
      </c>
    </row>
  </sheetData>
  <pageMargins left="0.7" right="0.7" top="0.75" bottom="0.75" header="0.3" footer="0.3"/>
  <pageSetup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22"/>
  <sheetViews>
    <sheetView topLeftCell="A7" zoomScaleNormal="100" workbookViewId="0">
      <selection activeCell="P494" sqref="P494"/>
    </sheetView>
  </sheetViews>
  <sheetFormatPr defaultRowHeight="15" x14ac:dyDescent="0.25"/>
  <cols>
    <col min="8" max="8" width="14" bestFit="1" customWidth="1"/>
    <col min="20" max="20" width="9.5703125" bestFit="1" customWidth="1"/>
  </cols>
  <sheetData>
    <row r="2" spans="1:26" ht="21" x14ac:dyDescent="0.35">
      <c r="A2" s="55" t="s">
        <v>1289</v>
      </c>
    </row>
    <row r="4" spans="1:26" s="56" customFormat="1" ht="18.75" x14ac:dyDescent="0.3">
      <c r="A4" s="125" t="s">
        <v>1245</v>
      </c>
      <c r="B4" s="70"/>
      <c r="C4" s="70"/>
      <c r="D4" s="70"/>
      <c r="E4" s="70"/>
      <c r="K4" s="69" t="s">
        <v>1290</v>
      </c>
      <c r="L4" s="70"/>
      <c r="M4" s="70"/>
      <c r="N4" s="70"/>
      <c r="O4" s="70"/>
      <c r="P4" s="70"/>
    </row>
    <row r="5" spans="1:26" ht="15.75" thickBot="1" x14ac:dyDescent="0.3">
      <c r="K5" s="58"/>
    </row>
    <row r="6" spans="1:26" ht="110.1" customHeight="1" thickBot="1" x14ac:dyDescent="0.3">
      <c r="A6" s="471" t="s">
        <v>1251</v>
      </c>
      <c r="B6" s="469"/>
      <c r="C6" s="469"/>
      <c r="D6" s="469"/>
      <c r="E6" s="469"/>
      <c r="F6" s="469"/>
      <c r="G6" s="469"/>
      <c r="H6" s="469"/>
      <c r="I6" s="470"/>
      <c r="K6" s="471" t="s">
        <v>1291</v>
      </c>
      <c r="L6" s="469"/>
      <c r="M6" s="469"/>
      <c r="N6" s="469"/>
      <c r="O6" s="469"/>
      <c r="P6" s="469"/>
      <c r="Q6" s="469"/>
      <c r="R6" s="469"/>
      <c r="S6" s="470"/>
    </row>
    <row r="7" spans="1:26" x14ac:dyDescent="0.25">
      <c r="K7" s="58"/>
    </row>
    <row r="8" spans="1:26" ht="19.5" x14ac:dyDescent="0.25">
      <c r="A8" s="472" t="s">
        <v>1246</v>
      </c>
      <c r="B8" s="472"/>
      <c r="C8" s="472"/>
      <c r="D8" s="472"/>
      <c r="E8" s="472"/>
      <c r="F8" s="472"/>
      <c r="G8" s="472"/>
      <c r="H8" s="472"/>
      <c r="I8" s="472"/>
      <c r="J8" s="472"/>
      <c r="K8" s="472"/>
      <c r="L8" s="472"/>
      <c r="M8" s="472"/>
      <c r="N8" s="472"/>
      <c r="O8" s="472"/>
      <c r="P8" s="472"/>
      <c r="Q8" s="472"/>
      <c r="R8" s="472"/>
      <c r="S8" s="472"/>
      <c r="T8" s="472"/>
    </row>
    <row r="9" spans="1:26" s="32" customFormat="1" ht="15.75" x14ac:dyDescent="0.25">
      <c r="A9" s="31" t="s">
        <v>1260</v>
      </c>
      <c r="K9" s="59" t="s">
        <v>1262</v>
      </c>
    </row>
    <row r="10" spans="1:26" s="32" customFormat="1" ht="15.75" x14ac:dyDescent="0.25">
      <c r="A10" s="33" t="s">
        <v>1247</v>
      </c>
      <c r="K10" s="60" t="s">
        <v>1247</v>
      </c>
    </row>
    <row r="11" spans="1:26" s="32" customFormat="1" ht="17.25" x14ac:dyDescent="0.25">
      <c r="A11" s="34" t="s">
        <v>1254</v>
      </c>
      <c r="B11" s="34"/>
      <c r="C11" s="34"/>
      <c r="D11" s="34"/>
      <c r="E11" s="34"/>
      <c r="K11" s="61" t="s">
        <v>1254</v>
      </c>
      <c r="M11" s="49" t="s">
        <v>1377</v>
      </c>
      <c r="T11" s="78"/>
      <c r="U11" s="78"/>
      <c r="V11" s="78"/>
      <c r="W11" s="78"/>
      <c r="X11" s="78"/>
      <c r="Y11" s="78"/>
      <c r="Z11" s="78"/>
    </row>
    <row r="12" spans="1:26" s="32" customFormat="1" ht="17.25" x14ac:dyDescent="0.25">
      <c r="A12" s="34" t="s">
        <v>1255</v>
      </c>
      <c r="C12" s="32" t="s">
        <v>1276</v>
      </c>
      <c r="K12" s="61" t="s">
        <v>1255</v>
      </c>
      <c r="M12" s="32" t="s">
        <v>1344</v>
      </c>
    </row>
    <row r="13" spans="1:26" s="32" customFormat="1" ht="15.75" x14ac:dyDescent="0.25">
      <c r="A13" s="34" t="s">
        <v>1256</v>
      </c>
      <c r="C13" s="32" t="s">
        <v>1277</v>
      </c>
      <c r="K13" s="61" t="s">
        <v>1256</v>
      </c>
      <c r="M13" s="32" t="s">
        <v>1263</v>
      </c>
    </row>
    <row r="14" spans="1:26" s="32" customFormat="1" ht="15.75" x14ac:dyDescent="0.25">
      <c r="A14" s="31" t="s">
        <v>1261</v>
      </c>
      <c r="K14" s="59" t="s">
        <v>1292</v>
      </c>
    </row>
    <row r="15" spans="1:26" s="32" customFormat="1" ht="15.75" x14ac:dyDescent="0.25">
      <c r="A15" s="33" t="s">
        <v>1248</v>
      </c>
      <c r="K15" s="60" t="s">
        <v>1248</v>
      </c>
    </row>
    <row r="16" spans="1:26" s="32" customFormat="1" ht="17.25" x14ac:dyDescent="0.25">
      <c r="A16" s="41"/>
      <c r="B16" s="42" t="s">
        <v>1268</v>
      </c>
      <c r="C16" s="43" t="s">
        <v>1252</v>
      </c>
      <c r="E16" s="44" t="s">
        <v>1271</v>
      </c>
      <c r="H16" s="45">
        <f>1400*56.96</f>
        <v>79744</v>
      </c>
      <c r="K16" s="62"/>
      <c r="L16" s="42" t="s">
        <v>1268</v>
      </c>
      <c r="M16" s="43" t="s">
        <v>1252</v>
      </c>
      <c r="O16" s="44" t="s">
        <v>1319</v>
      </c>
      <c r="P16" s="178"/>
      <c r="R16" s="45">
        <f>1200*113.85</f>
        <v>136620</v>
      </c>
      <c r="T16" s="51">
        <f>(113.85-56.96)/113.85</f>
        <v>0.49969257795344746</v>
      </c>
      <c r="U16" s="53" t="s">
        <v>1286</v>
      </c>
    </row>
    <row r="17" spans="1:22" s="32" customFormat="1" ht="17.25" x14ac:dyDescent="0.25">
      <c r="A17" s="36"/>
      <c r="B17" s="35" t="s">
        <v>1269</v>
      </c>
      <c r="C17" s="32" t="s">
        <v>1258</v>
      </c>
      <c r="D17" s="36"/>
      <c r="E17" s="32" t="s">
        <v>1273</v>
      </c>
      <c r="F17" s="37"/>
      <c r="H17" s="40">
        <f>5600*3.5</f>
        <v>19600</v>
      </c>
      <c r="K17" s="63"/>
      <c r="L17" s="35" t="s">
        <v>1269</v>
      </c>
      <c r="M17" s="32" t="s">
        <v>1258</v>
      </c>
      <c r="N17" s="36"/>
      <c r="O17" s="32" t="s">
        <v>1381</v>
      </c>
      <c r="P17" s="37"/>
      <c r="R17" s="40">
        <f>3000*11.42</f>
        <v>34260</v>
      </c>
      <c r="T17" s="52">
        <f>(11.42-3.5)/11.42</f>
        <v>0.69352014010507879</v>
      </c>
      <c r="U17" s="53" t="s">
        <v>1287</v>
      </c>
    </row>
    <row r="18" spans="1:22" s="32" customFormat="1" ht="15.75" x14ac:dyDescent="0.25">
      <c r="A18" s="36"/>
      <c r="B18" s="46" t="s">
        <v>1270</v>
      </c>
      <c r="C18" s="32" t="s">
        <v>1250</v>
      </c>
      <c r="E18" s="32" t="s">
        <v>1259</v>
      </c>
      <c r="H18" s="47">
        <v>12348</v>
      </c>
      <c r="K18" s="63"/>
      <c r="L18" s="46" t="s">
        <v>1270</v>
      </c>
      <c r="M18" s="32" t="s">
        <v>1250</v>
      </c>
      <c r="O18" s="32" t="s">
        <v>1259</v>
      </c>
      <c r="R18" s="79">
        <v>14800</v>
      </c>
      <c r="S18" s="78"/>
      <c r="T18" s="78"/>
      <c r="U18" s="78"/>
      <c r="V18" s="78"/>
    </row>
    <row r="19" spans="1:22" s="32" customFormat="1" ht="15.75" x14ac:dyDescent="0.25">
      <c r="A19" s="38"/>
      <c r="B19" s="39"/>
      <c r="C19" s="48" t="s">
        <v>1264</v>
      </c>
      <c r="H19" s="40">
        <f>SUM(H16:H18)</f>
        <v>111692</v>
      </c>
      <c r="K19" s="64"/>
      <c r="L19" s="39"/>
      <c r="M19" s="48" t="s">
        <v>1264</v>
      </c>
      <c r="R19" s="40">
        <f>SUM(R16:R18)</f>
        <v>185680</v>
      </c>
      <c r="T19" s="54">
        <f>(R19-H19)/R19</f>
        <v>0.39847048685911246</v>
      </c>
      <c r="U19" s="53" t="s">
        <v>1288</v>
      </c>
    </row>
    <row r="20" spans="1:22" s="32" customFormat="1" ht="15.75" x14ac:dyDescent="0.25">
      <c r="A20" s="36"/>
      <c r="K20" s="65"/>
    </row>
    <row r="21" spans="1:22" x14ac:dyDescent="0.25">
      <c r="A21" t="s">
        <v>1275</v>
      </c>
      <c r="K21" s="58" t="s">
        <v>1266</v>
      </c>
    </row>
    <row r="22" spans="1:22" x14ac:dyDescent="0.25">
      <c r="A22" t="s">
        <v>1272</v>
      </c>
      <c r="K22" s="58" t="s">
        <v>1265</v>
      </c>
    </row>
    <row r="23" spans="1:22" x14ac:dyDescent="0.25">
      <c r="A23" t="s">
        <v>1284</v>
      </c>
      <c r="K23" s="58" t="s">
        <v>1267</v>
      </c>
    </row>
    <row r="24" spans="1:22" x14ac:dyDescent="0.25">
      <c r="A24" s="50" t="s">
        <v>1274</v>
      </c>
      <c r="K24" s="58" t="s">
        <v>1385</v>
      </c>
    </row>
    <row r="25" spans="1:22" x14ac:dyDescent="0.25">
      <c r="K25" s="58"/>
    </row>
    <row r="26" spans="1:22" s="30" customFormat="1" ht="15.75" x14ac:dyDescent="0.25">
      <c r="A26" s="57" t="s">
        <v>1278</v>
      </c>
      <c r="D26" s="57" t="s">
        <v>1285</v>
      </c>
      <c r="K26" s="66" t="s">
        <v>1278</v>
      </c>
      <c r="O26" s="57" t="s">
        <v>1285</v>
      </c>
    </row>
    <row r="27" spans="1:22" x14ac:dyDescent="0.25">
      <c r="A27" t="s">
        <v>1280</v>
      </c>
      <c r="K27" s="58" t="s">
        <v>1281</v>
      </c>
    </row>
    <row r="28" spans="1:22" x14ac:dyDescent="0.25">
      <c r="A28" t="s">
        <v>1279</v>
      </c>
      <c r="K28" s="58" t="s">
        <v>1382</v>
      </c>
    </row>
    <row r="29" spans="1:22" x14ac:dyDescent="0.25">
      <c r="A29" t="s">
        <v>1282</v>
      </c>
      <c r="K29" s="58" t="s">
        <v>1383</v>
      </c>
    </row>
    <row r="30" spans="1:22" x14ac:dyDescent="0.25">
      <c r="K30" s="58"/>
    </row>
    <row r="31" spans="1:22" s="30" customFormat="1" ht="15.75" x14ac:dyDescent="0.25">
      <c r="K31" s="66" t="s">
        <v>1283</v>
      </c>
      <c r="O31" s="57" t="s">
        <v>1384</v>
      </c>
      <c r="P31" s="80"/>
    </row>
    <row r="32" spans="1:22" x14ac:dyDescent="0.25">
      <c r="K32" s="58" t="s">
        <v>1325</v>
      </c>
    </row>
    <row r="33" spans="11:24" x14ac:dyDescent="0.25">
      <c r="K33" s="58" t="s">
        <v>1386</v>
      </c>
    </row>
    <row r="34" spans="11:24" x14ac:dyDescent="0.25">
      <c r="K34" s="58" t="s">
        <v>1387</v>
      </c>
    </row>
    <row r="35" spans="11:24" x14ac:dyDescent="0.25">
      <c r="K35" s="58" t="s">
        <v>1345</v>
      </c>
    </row>
    <row r="36" spans="11:24" x14ac:dyDescent="0.25">
      <c r="K36" s="58" t="s">
        <v>1388</v>
      </c>
    </row>
    <row r="37" spans="11:24" x14ac:dyDescent="0.25">
      <c r="K37" s="58" t="s">
        <v>1389</v>
      </c>
    </row>
    <row r="38" spans="11:24" x14ac:dyDescent="0.25">
      <c r="K38" s="58" t="s">
        <v>1346</v>
      </c>
    </row>
    <row r="39" spans="11:24" x14ac:dyDescent="0.25">
      <c r="K39" s="58" t="s">
        <v>1390</v>
      </c>
    </row>
    <row r="40" spans="11:24" x14ac:dyDescent="0.25">
      <c r="K40" s="58" t="s">
        <v>1297</v>
      </c>
    </row>
    <row r="41" spans="11:24" x14ac:dyDescent="0.25">
      <c r="K41" s="58"/>
    </row>
    <row r="42" spans="11:24" x14ac:dyDescent="0.25">
      <c r="K42" s="5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1:24" ht="18.75" x14ac:dyDescent="0.3">
      <c r="K43" s="129" t="s">
        <v>1298</v>
      </c>
      <c r="L43" s="130"/>
      <c r="M43" s="130"/>
      <c r="N43" s="130"/>
      <c r="O43" s="130"/>
      <c r="P43" s="28"/>
      <c r="Q43" s="28"/>
      <c r="R43" s="28"/>
      <c r="S43" s="28"/>
      <c r="T43" s="28"/>
      <c r="U43" s="28"/>
      <c r="V43" s="28"/>
      <c r="W43" s="28"/>
      <c r="X43" s="28"/>
    </row>
    <row r="44" spans="11:24" ht="15.75" thickBot="1" x14ac:dyDescent="0.3">
      <c r="K44" s="58"/>
      <c r="L44" s="28"/>
      <c r="M44" s="28"/>
      <c r="N44" s="28"/>
      <c r="O44" s="28"/>
      <c r="P44" s="28"/>
      <c r="Q44" s="28"/>
      <c r="R44" s="28"/>
      <c r="S44" s="28"/>
    </row>
    <row r="45" spans="11:24" ht="110.1" customHeight="1" thickBot="1" x14ac:dyDescent="0.3">
      <c r="K45" s="468" t="s">
        <v>1400</v>
      </c>
      <c r="L45" s="469"/>
      <c r="M45" s="469"/>
      <c r="N45" s="469"/>
      <c r="O45" s="469"/>
      <c r="P45" s="469"/>
      <c r="Q45" s="469"/>
      <c r="R45" s="469"/>
      <c r="S45" s="470"/>
      <c r="T45" s="177" t="s">
        <v>1401</v>
      </c>
    </row>
    <row r="46" spans="11:24" x14ac:dyDescent="0.25">
      <c r="K46" s="58"/>
      <c r="L46" s="28"/>
      <c r="M46" s="28"/>
      <c r="N46" s="28"/>
      <c r="O46" s="28"/>
      <c r="P46" s="28"/>
      <c r="Q46" s="28"/>
      <c r="R46" s="28"/>
      <c r="S46" s="28"/>
    </row>
    <row r="47" spans="11:24" ht="15.75" x14ac:dyDescent="0.25">
      <c r="K47" s="59" t="s">
        <v>1262</v>
      </c>
      <c r="L47" s="28"/>
      <c r="M47" s="28"/>
      <c r="N47" s="28"/>
      <c r="O47" s="28"/>
      <c r="P47" s="28"/>
      <c r="Q47" s="28"/>
      <c r="R47" s="28"/>
      <c r="S47" s="28"/>
    </row>
    <row r="48" spans="11:24" x14ac:dyDescent="0.25">
      <c r="K48" s="67" t="s">
        <v>1257</v>
      </c>
      <c r="L48" s="28" t="s">
        <v>1402</v>
      </c>
      <c r="M48" s="28"/>
      <c r="N48" s="28"/>
      <c r="O48" s="28"/>
      <c r="P48" s="28"/>
      <c r="Q48" s="28"/>
      <c r="R48" s="28"/>
      <c r="S48" s="28"/>
    </row>
    <row r="49" spans="11:22" x14ac:dyDescent="0.25">
      <c r="K49" s="67" t="s">
        <v>1253</v>
      </c>
      <c r="L49" s="28" t="s">
        <v>1293</v>
      </c>
      <c r="M49" s="28"/>
      <c r="N49" s="28"/>
      <c r="O49" s="28"/>
      <c r="P49" s="28"/>
      <c r="Q49" s="28"/>
      <c r="R49" s="28"/>
      <c r="S49" s="28"/>
    </row>
    <row r="50" spans="11:22" x14ac:dyDescent="0.25">
      <c r="K50" s="67" t="s">
        <v>1249</v>
      </c>
      <c r="L50" s="28" t="s">
        <v>1294</v>
      </c>
      <c r="M50" s="28"/>
      <c r="N50" s="28"/>
      <c r="O50" s="28"/>
      <c r="P50" s="28"/>
      <c r="Q50" s="28"/>
      <c r="R50" s="28"/>
      <c r="S50" s="28"/>
    </row>
    <row r="51" spans="11:22" x14ac:dyDescent="0.25">
      <c r="K51" s="58"/>
      <c r="L51" s="28"/>
      <c r="M51" s="28"/>
      <c r="N51" s="28"/>
      <c r="O51" s="28"/>
      <c r="P51" s="28"/>
      <c r="Q51" s="28"/>
      <c r="R51" s="28"/>
      <c r="S51" s="28"/>
    </row>
    <row r="52" spans="11:22" ht="15.75" x14ac:dyDescent="0.25">
      <c r="K52" s="66" t="s">
        <v>1278</v>
      </c>
      <c r="L52" s="30"/>
      <c r="M52" s="30"/>
      <c r="N52" s="30"/>
      <c r="O52" s="57" t="s">
        <v>1285</v>
      </c>
      <c r="P52" s="30"/>
      <c r="Q52" s="30"/>
      <c r="R52" s="30"/>
      <c r="S52" s="30"/>
      <c r="T52" s="30"/>
      <c r="U52" s="30"/>
      <c r="V52" s="30"/>
    </row>
    <row r="53" spans="11:22" x14ac:dyDescent="0.25">
      <c r="K53" s="58" t="s">
        <v>1281</v>
      </c>
    </row>
    <row r="54" spans="11:22" x14ac:dyDescent="0.25">
      <c r="K54" s="58" t="s">
        <v>1295</v>
      </c>
    </row>
    <row r="55" spans="11:22" x14ac:dyDescent="0.25">
      <c r="K55" s="58" t="s">
        <v>1296</v>
      </c>
    </row>
    <row r="56" spans="11:22" x14ac:dyDescent="0.25">
      <c r="K56" s="58"/>
    </row>
    <row r="57" spans="11:22" ht="15.75" x14ac:dyDescent="0.25">
      <c r="K57" s="66" t="s">
        <v>1283</v>
      </c>
      <c r="L57" s="30"/>
      <c r="M57" s="30"/>
      <c r="N57" s="30"/>
      <c r="O57" s="68" t="s">
        <v>1347</v>
      </c>
      <c r="P57" s="80"/>
      <c r="Q57" s="30"/>
      <c r="R57" s="30"/>
      <c r="S57" s="30"/>
      <c r="T57" s="30"/>
      <c r="U57" s="80"/>
      <c r="V57" s="30"/>
    </row>
    <row r="58" spans="11:22" x14ac:dyDescent="0.25">
      <c r="K58" s="58" t="s">
        <v>1325</v>
      </c>
    </row>
    <row r="59" spans="11:22" x14ac:dyDescent="0.25">
      <c r="K59" s="58" t="s">
        <v>1348</v>
      </c>
    </row>
    <row r="60" spans="11:22" x14ac:dyDescent="0.25">
      <c r="K60" s="58" t="s">
        <v>1349</v>
      </c>
    </row>
    <row r="61" spans="11:22" x14ac:dyDescent="0.25">
      <c r="K61" s="58" t="s">
        <v>1345</v>
      </c>
    </row>
    <row r="62" spans="11:22" x14ac:dyDescent="0.25">
      <c r="K62" s="58" t="s">
        <v>1350</v>
      </c>
    </row>
    <row r="63" spans="11:22" x14ac:dyDescent="0.25">
      <c r="K63" s="58" t="s">
        <v>1351</v>
      </c>
    </row>
    <row r="64" spans="11:22" x14ac:dyDescent="0.25">
      <c r="K64" s="58" t="s">
        <v>1346</v>
      </c>
    </row>
    <row r="65" spans="11:23" x14ac:dyDescent="0.25">
      <c r="K65" s="58" t="s">
        <v>1352</v>
      </c>
    </row>
    <row r="66" spans="11:23" x14ac:dyDescent="0.25">
      <c r="K66" s="58" t="s">
        <v>1353</v>
      </c>
    </row>
    <row r="67" spans="11:23" x14ac:dyDescent="0.25">
      <c r="K67" s="58"/>
    </row>
    <row r="68" spans="11:23" x14ac:dyDescent="0.25">
      <c r="K68" s="5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1:23" ht="18.75" x14ac:dyDescent="0.3">
      <c r="K69" s="127" t="s">
        <v>1299</v>
      </c>
      <c r="L69" s="128"/>
      <c r="M69" s="128"/>
      <c r="N69" s="128"/>
      <c r="O69" s="128"/>
      <c r="P69" s="28"/>
      <c r="Q69" s="28"/>
      <c r="R69" s="28"/>
      <c r="S69" s="28"/>
      <c r="T69" s="28"/>
      <c r="U69" s="28"/>
      <c r="V69" s="28"/>
      <c r="W69" s="28"/>
    </row>
    <row r="70" spans="11:23" ht="15.75" thickBot="1" x14ac:dyDescent="0.3">
      <c r="K70" s="58"/>
      <c r="L70" s="28"/>
      <c r="M70" s="28"/>
      <c r="N70" s="28"/>
      <c r="O70" s="28"/>
      <c r="P70" s="28"/>
      <c r="Q70" s="28"/>
      <c r="R70" s="28"/>
      <c r="S70" s="28"/>
    </row>
    <row r="71" spans="11:23" ht="90" customHeight="1" thickBot="1" x14ac:dyDescent="0.3">
      <c r="K71" s="468" t="s">
        <v>1300</v>
      </c>
      <c r="L71" s="469"/>
      <c r="M71" s="469"/>
      <c r="N71" s="469"/>
      <c r="O71" s="469"/>
      <c r="P71" s="469"/>
      <c r="Q71" s="469"/>
      <c r="R71" s="469"/>
      <c r="S71" s="470"/>
    </row>
    <row r="72" spans="11:23" x14ac:dyDescent="0.25">
      <c r="K72" s="58"/>
      <c r="L72" s="28"/>
      <c r="M72" s="28"/>
      <c r="N72" s="28"/>
      <c r="O72" s="28"/>
      <c r="P72" s="28"/>
      <c r="Q72" s="28"/>
      <c r="R72" s="28"/>
      <c r="S72" s="28"/>
    </row>
    <row r="73" spans="11:23" ht="15.75" x14ac:dyDescent="0.25">
      <c r="K73" s="59" t="s">
        <v>1262</v>
      </c>
      <c r="L73" s="28"/>
      <c r="M73" s="28"/>
      <c r="N73" s="28"/>
      <c r="O73" s="28"/>
      <c r="P73" s="28"/>
      <c r="Q73" s="28"/>
      <c r="R73" s="28"/>
      <c r="S73" s="28"/>
    </row>
    <row r="74" spans="11:23" x14ac:dyDescent="0.25">
      <c r="K74" s="67" t="s">
        <v>1257</v>
      </c>
      <c r="L74" s="28" t="s">
        <v>1317</v>
      </c>
      <c r="M74" s="28"/>
      <c r="N74" s="28"/>
      <c r="O74" s="28"/>
      <c r="P74" s="28"/>
      <c r="Q74" s="28"/>
      <c r="R74" s="28" t="s">
        <v>1318</v>
      </c>
      <c r="S74" s="28"/>
    </row>
    <row r="75" spans="11:23" x14ac:dyDescent="0.25">
      <c r="K75" s="67" t="s">
        <v>1253</v>
      </c>
      <c r="L75" s="28" t="s">
        <v>1354</v>
      </c>
      <c r="M75" s="28"/>
      <c r="N75" s="28"/>
      <c r="O75" s="28"/>
      <c r="P75" s="28"/>
      <c r="Q75" s="28"/>
      <c r="R75" s="28"/>
      <c r="S75" s="28"/>
    </row>
    <row r="76" spans="11:23" x14ac:dyDescent="0.25">
      <c r="K76" s="58"/>
      <c r="L76" s="28"/>
      <c r="M76" s="28"/>
      <c r="N76" s="28"/>
      <c r="O76" s="28"/>
      <c r="P76" s="28"/>
      <c r="Q76" s="28"/>
      <c r="R76" s="28"/>
      <c r="S76" s="28"/>
    </row>
    <row r="77" spans="11:23" ht="15.75" x14ac:dyDescent="0.25">
      <c r="K77" s="66" t="s">
        <v>1278</v>
      </c>
      <c r="L77" s="30"/>
      <c r="M77" s="30"/>
      <c r="N77" s="30"/>
      <c r="O77" s="57" t="s">
        <v>1285</v>
      </c>
      <c r="P77" s="30"/>
      <c r="Q77" s="30"/>
      <c r="R77" s="30"/>
      <c r="S77" s="30"/>
    </row>
    <row r="78" spans="11:23" x14ac:dyDescent="0.25">
      <c r="K78" s="58" t="s">
        <v>1281</v>
      </c>
    </row>
    <row r="79" spans="11:23" x14ac:dyDescent="0.25">
      <c r="K79" s="58" t="s">
        <v>1355</v>
      </c>
    </row>
    <row r="80" spans="11:23" x14ac:dyDescent="0.25">
      <c r="K80" s="58" t="s">
        <v>1356</v>
      </c>
    </row>
    <row r="81" spans="11:23" x14ac:dyDescent="0.25">
      <c r="K81" s="58"/>
    </row>
    <row r="82" spans="11:23" ht="15.75" x14ac:dyDescent="0.25">
      <c r="K82" s="66" t="s">
        <v>1283</v>
      </c>
      <c r="L82" s="30"/>
      <c r="M82" s="30"/>
      <c r="N82" s="30"/>
      <c r="O82" s="68" t="s">
        <v>1357</v>
      </c>
      <c r="P82" s="80"/>
      <c r="Q82" s="30"/>
      <c r="R82" s="30"/>
      <c r="S82" s="30"/>
    </row>
    <row r="83" spans="11:23" x14ac:dyDescent="0.25">
      <c r="K83" s="58" t="s">
        <v>1325</v>
      </c>
    </row>
    <row r="84" spans="11:23" x14ac:dyDescent="0.25">
      <c r="K84" s="58" t="s">
        <v>1358</v>
      </c>
    </row>
    <row r="85" spans="11:23" x14ac:dyDescent="0.25">
      <c r="K85" s="58" t="s">
        <v>1359</v>
      </c>
    </row>
    <row r="86" spans="11:23" x14ac:dyDescent="0.25">
      <c r="K86" s="58" t="s">
        <v>1345</v>
      </c>
    </row>
    <row r="87" spans="11:23" x14ac:dyDescent="0.25">
      <c r="K87" s="58" t="s">
        <v>1360</v>
      </c>
    </row>
    <row r="88" spans="11:23" x14ac:dyDescent="0.25">
      <c r="K88" s="58" t="s">
        <v>1361</v>
      </c>
    </row>
    <row r="89" spans="11:23" x14ac:dyDescent="0.25">
      <c r="K89" s="58" t="s">
        <v>1346</v>
      </c>
    </row>
    <row r="90" spans="11:23" x14ac:dyDescent="0.25">
      <c r="K90" s="58" t="s">
        <v>1362</v>
      </c>
    </row>
    <row r="91" spans="11:23" x14ac:dyDescent="0.25">
      <c r="K91" s="58" t="s">
        <v>1363</v>
      </c>
    </row>
    <row r="92" spans="11:23" x14ac:dyDescent="0.25">
      <c r="K92" s="58"/>
    </row>
    <row r="93" spans="11:23" x14ac:dyDescent="0.25">
      <c r="K93" s="5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</row>
    <row r="94" spans="11:23" ht="18.75" x14ac:dyDescent="0.3">
      <c r="K94" s="71" t="s">
        <v>1303</v>
      </c>
      <c r="L94" s="126"/>
      <c r="M94" s="126"/>
      <c r="N94" s="126"/>
      <c r="O94" s="126"/>
      <c r="P94" s="126"/>
      <c r="Q94" s="28"/>
      <c r="R94" s="28"/>
      <c r="S94" s="28"/>
      <c r="T94" s="28"/>
      <c r="U94" s="28"/>
      <c r="V94" s="28"/>
      <c r="W94" s="28"/>
    </row>
    <row r="95" spans="11:23" ht="15.75" thickBot="1" x14ac:dyDescent="0.3">
      <c r="K95" s="58"/>
      <c r="L95" s="28"/>
      <c r="M95" s="28"/>
      <c r="N95" s="28"/>
      <c r="O95" s="28"/>
      <c r="P95" s="28"/>
      <c r="Q95" s="28"/>
      <c r="R95" s="28"/>
      <c r="S95" s="28"/>
    </row>
    <row r="96" spans="11:23" ht="50.1" customHeight="1" thickBot="1" x14ac:dyDescent="0.3">
      <c r="K96" s="468" t="s">
        <v>1301</v>
      </c>
      <c r="L96" s="469"/>
      <c r="M96" s="469"/>
      <c r="N96" s="469"/>
      <c r="O96" s="469"/>
      <c r="P96" s="469"/>
      <c r="Q96" s="469"/>
      <c r="R96" s="469"/>
      <c r="S96" s="470"/>
    </row>
    <row r="97" spans="11:21" x14ac:dyDescent="0.25">
      <c r="K97" s="58"/>
      <c r="L97" s="28"/>
      <c r="M97" s="28"/>
      <c r="N97" s="28"/>
      <c r="O97" s="28"/>
      <c r="P97" s="28"/>
      <c r="Q97" s="28"/>
      <c r="R97" s="28"/>
      <c r="S97" s="28"/>
    </row>
    <row r="98" spans="11:21" ht="15.75" x14ac:dyDescent="0.25">
      <c r="K98" s="59" t="s">
        <v>1262</v>
      </c>
      <c r="L98" s="28"/>
      <c r="M98" s="28"/>
      <c r="N98" s="28"/>
      <c r="O98" s="28"/>
      <c r="P98" s="28"/>
      <c r="Q98" s="28"/>
      <c r="R98" s="28"/>
      <c r="S98" s="28"/>
    </row>
    <row r="99" spans="11:21" x14ac:dyDescent="0.25">
      <c r="K99" s="67" t="s">
        <v>1257</v>
      </c>
      <c r="L99" s="28" t="s">
        <v>1302</v>
      </c>
      <c r="M99" s="28"/>
      <c r="N99" s="28"/>
      <c r="O99" s="28"/>
      <c r="P99" s="28"/>
      <c r="Q99" s="28"/>
      <c r="R99" s="28"/>
      <c r="S99" s="28"/>
    </row>
    <row r="100" spans="11:21" x14ac:dyDescent="0.25">
      <c r="K100" s="58"/>
      <c r="L100" s="28"/>
      <c r="M100" s="28"/>
      <c r="N100" s="28"/>
      <c r="O100" s="28"/>
      <c r="P100" s="28"/>
      <c r="Q100" s="28"/>
      <c r="R100" s="28"/>
      <c r="S100" s="28"/>
    </row>
    <row r="101" spans="11:21" ht="15.75" x14ac:dyDescent="0.25">
      <c r="K101" s="66" t="s">
        <v>1278</v>
      </c>
      <c r="L101" s="30"/>
      <c r="M101" s="30"/>
      <c r="N101" s="30"/>
      <c r="O101" s="57" t="s">
        <v>1285</v>
      </c>
      <c r="P101" s="30"/>
      <c r="Q101" s="30"/>
      <c r="R101" s="30"/>
      <c r="S101" s="30"/>
    </row>
    <row r="102" spans="11:21" x14ac:dyDescent="0.25">
      <c r="K102" s="58" t="s">
        <v>1281</v>
      </c>
    </row>
    <row r="103" spans="11:21" x14ac:dyDescent="0.25">
      <c r="K103" s="58" t="s">
        <v>1364</v>
      </c>
    </row>
    <row r="104" spans="11:21" x14ac:dyDescent="0.25">
      <c r="K104" s="58" t="s">
        <v>1365</v>
      </c>
      <c r="T104" s="74">
        <f>30229/503821</f>
        <v>5.9999483943702227E-2</v>
      </c>
      <c r="U104" t="s">
        <v>1311</v>
      </c>
    </row>
    <row r="105" spans="11:21" x14ac:dyDescent="0.25">
      <c r="K105" s="58"/>
    </row>
    <row r="106" spans="11:21" x14ac:dyDescent="0.25">
      <c r="K106" s="58" t="s">
        <v>1366</v>
      </c>
    </row>
    <row r="107" spans="11:21" x14ac:dyDescent="0.25">
      <c r="K107" s="58" t="s">
        <v>1367</v>
      </c>
      <c r="T107" s="74">
        <f>28194/469900</f>
        <v>0.06</v>
      </c>
      <c r="U107" t="s">
        <v>1311</v>
      </c>
    </row>
    <row r="108" spans="11:21" x14ac:dyDescent="0.25">
      <c r="K108" s="58"/>
    </row>
    <row r="109" spans="11:21" x14ac:dyDescent="0.25">
      <c r="K109" s="58" t="s">
        <v>1368</v>
      </c>
    </row>
    <row r="110" spans="11:21" x14ac:dyDescent="0.25">
      <c r="K110" s="58" t="s">
        <v>1310</v>
      </c>
      <c r="T110" s="74">
        <f>23214/386900</f>
        <v>0.06</v>
      </c>
      <c r="U110" t="s">
        <v>1311</v>
      </c>
    </row>
    <row r="111" spans="11:21" x14ac:dyDescent="0.25">
      <c r="K111" s="58"/>
    </row>
    <row r="112" spans="11:21" x14ac:dyDescent="0.25">
      <c r="K112" s="58"/>
    </row>
    <row r="113" spans="11:19" ht="15.75" x14ac:dyDescent="0.25">
      <c r="K113" s="66"/>
      <c r="L113" s="30"/>
      <c r="M113" s="30"/>
      <c r="N113" s="30"/>
      <c r="O113" s="68"/>
      <c r="P113" s="80"/>
      <c r="Q113" s="30"/>
      <c r="R113" s="30"/>
      <c r="S113" s="30"/>
    </row>
    <row r="114" spans="11:19" x14ac:dyDescent="0.25">
      <c r="K114" s="58"/>
    </row>
    <row r="115" spans="11:19" x14ac:dyDescent="0.25">
      <c r="K115" s="58"/>
    </row>
    <row r="116" spans="11:19" x14ac:dyDescent="0.25">
      <c r="K116" s="58"/>
    </row>
    <row r="117" spans="11:19" x14ac:dyDescent="0.25">
      <c r="K117" s="58"/>
    </row>
    <row r="118" spans="11:19" x14ac:dyDescent="0.25">
      <c r="K118" s="58"/>
    </row>
    <row r="119" spans="11:19" x14ac:dyDescent="0.25">
      <c r="K119" s="58"/>
    </row>
    <row r="120" spans="11:19" x14ac:dyDescent="0.25">
      <c r="K120" s="58"/>
    </row>
    <row r="121" spans="11:19" x14ac:dyDescent="0.25">
      <c r="K121" s="58"/>
    </row>
    <row r="122" spans="11:19" x14ac:dyDescent="0.25">
      <c r="K122" s="58"/>
    </row>
  </sheetData>
  <mergeCells count="6">
    <mergeCell ref="K71:S71"/>
    <mergeCell ref="K96:S96"/>
    <mergeCell ref="A6:I6"/>
    <mergeCell ref="A8:T8"/>
    <mergeCell ref="K6:S6"/>
    <mergeCell ref="K45:S45"/>
  </mergeCells>
  <pageMargins left="0.7" right="0.7" top="0.75" bottom="0.75" header="0.3" footer="0.3"/>
  <pageSetup scale="54" fitToHeight="0" orientation="landscape" cellComments="asDisplayed" r:id="rId1"/>
  <rowBreaks count="3" manualBreakCount="3">
    <brk id="42" max="23" man="1"/>
    <brk id="91" max="23" man="1"/>
    <brk id="111" max="16383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9"/>
  <sheetViews>
    <sheetView workbookViewId="0">
      <selection activeCell="P494" sqref="P494"/>
    </sheetView>
  </sheetViews>
  <sheetFormatPr defaultRowHeight="15" x14ac:dyDescent="0.25"/>
  <cols>
    <col min="1" max="1" width="39.42578125" bestFit="1" customWidth="1"/>
    <col min="2" max="2" width="10.42578125" bestFit="1" customWidth="1"/>
    <col min="3" max="3" width="10.5703125" bestFit="1" customWidth="1"/>
  </cols>
  <sheetData>
    <row r="4" spans="1:3" x14ac:dyDescent="0.25">
      <c r="A4" s="131"/>
    </row>
    <row r="5" spans="1:3" ht="45" x14ac:dyDescent="0.25">
      <c r="A5" s="132"/>
      <c r="B5" s="136" t="s">
        <v>1379</v>
      </c>
      <c r="C5" s="136" t="s">
        <v>1371</v>
      </c>
    </row>
    <row r="6" spans="1:3" x14ac:dyDescent="0.25">
      <c r="A6" s="133" t="s">
        <v>1369</v>
      </c>
      <c r="B6" s="134">
        <v>1335</v>
      </c>
      <c r="C6" s="134">
        <f>B6*0.12</f>
        <v>160.19999999999999</v>
      </c>
    </row>
    <row r="7" spans="1:3" x14ac:dyDescent="0.25">
      <c r="A7" s="133" t="s">
        <v>1370</v>
      </c>
      <c r="B7" s="134">
        <v>944</v>
      </c>
      <c r="C7" s="134">
        <f>B7*0.12</f>
        <v>113.28</v>
      </c>
    </row>
    <row r="8" spans="1:3" x14ac:dyDescent="0.25">
      <c r="A8" s="135" t="s">
        <v>1372</v>
      </c>
      <c r="B8" s="134">
        <v>618</v>
      </c>
      <c r="C8" s="134">
        <f>B8*0.12</f>
        <v>74.16</v>
      </c>
    </row>
    <row r="9" spans="1:3" x14ac:dyDescent="0.25">
      <c r="A9" s="135" t="s">
        <v>1378</v>
      </c>
      <c r="B9" s="134">
        <v>470</v>
      </c>
      <c r="C9" s="134">
        <f>B9*0.12</f>
        <v>56.4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56"/>
  <sheetViews>
    <sheetView zoomScaleNormal="100" workbookViewId="0">
      <selection activeCell="P494" sqref="P494"/>
    </sheetView>
  </sheetViews>
  <sheetFormatPr defaultRowHeight="15" x14ac:dyDescent="0.25"/>
  <cols>
    <col min="1" max="1" width="19.5703125" bestFit="1" customWidth="1"/>
    <col min="2" max="2" width="15" customWidth="1"/>
    <col min="3" max="3" width="11.7109375" customWidth="1"/>
    <col min="4" max="4" width="23.5703125" customWidth="1"/>
    <col min="5" max="5" width="19.140625" customWidth="1"/>
    <col min="6" max="6" width="12.7109375" customWidth="1"/>
    <col min="7" max="11" width="14.7109375" customWidth="1"/>
    <col min="18" max="20" width="14.7109375" customWidth="1"/>
  </cols>
  <sheetData>
    <row r="3" spans="1:6" ht="30" x14ac:dyDescent="0.25">
      <c r="A3" s="29" t="s">
        <v>1304</v>
      </c>
      <c r="B3" s="75" t="s">
        <v>1315</v>
      </c>
      <c r="C3" s="29" t="s">
        <v>1305</v>
      </c>
      <c r="D3" s="76" t="s">
        <v>1308</v>
      </c>
      <c r="E3" s="76" t="s">
        <v>1306</v>
      </c>
      <c r="F3" s="76" t="s">
        <v>1314</v>
      </c>
    </row>
    <row r="5" spans="1:6" x14ac:dyDescent="0.25">
      <c r="A5" t="s">
        <v>1307</v>
      </c>
      <c r="B5" s="72">
        <f>B25</f>
        <v>185680</v>
      </c>
      <c r="C5" s="72">
        <f>C25</f>
        <v>154.73333333333332</v>
      </c>
      <c r="D5" s="72">
        <f>I25</f>
        <v>49799.375999999997</v>
      </c>
      <c r="E5" s="82">
        <f>L25</f>
        <v>9.7645835294117647E-2</v>
      </c>
      <c r="F5" s="73" t="s">
        <v>1321</v>
      </c>
    </row>
    <row r="6" spans="1:6" x14ac:dyDescent="0.25">
      <c r="A6" t="s">
        <v>1316</v>
      </c>
      <c r="B6" s="72"/>
      <c r="C6" s="72"/>
      <c r="D6" s="72">
        <f>J25</f>
        <v>32958.199999999997</v>
      </c>
      <c r="E6" s="82">
        <f>M25</f>
        <v>6.7675975359342916E-2</v>
      </c>
      <c r="F6" s="73" t="s">
        <v>1327</v>
      </c>
    </row>
    <row r="7" spans="1:6" x14ac:dyDescent="0.25">
      <c r="B7" s="72"/>
      <c r="C7" s="72"/>
      <c r="D7" s="72">
        <f>K25</f>
        <v>22281.599999999999</v>
      </c>
      <c r="E7" s="82">
        <f>N25</f>
        <v>5.7590074954768672E-2</v>
      </c>
      <c r="F7" s="73" t="s">
        <v>1322</v>
      </c>
    </row>
    <row r="8" spans="1:6" x14ac:dyDescent="0.25">
      <c r="B8" s="72"/>
      <c r="C8" s="72"/>
      <c r="D8" s="72"/>
      <c r="E8" s="82"/>
      <c r="F8" s="73"/>
    </row>
    <row r="9" spans="1:6" x14ac:dyDescent="0.25">
      <c r="A9" t="s">
        <v>1309</v>
      </c>
      <c r="B9" s="72">
        <f>B27</f>
        <v>190000</v>
      </c>
      <c r="C9" s="72">
        <f>C27</f>
        <v>158.33333333333334</v>
      </c>
      <c r="D9" s="72">
        <f>I27</f>
        <v>50958</v>
      </c>
      <c r="E9" s="82">
        <f>L27</f>
        <v>9.9917647058823528E-2</v>
      </c>
      <c r="F9" s="73" t="s">
        <v>1321</v>
      </c>
    </row>
    <row r="10" spans="1:6" x14ac:dyDescent="0.25">
      <c r="B10" s="72"/>
      <c r="C10" s="72"/>
      <c r="D10" s="72">
        <f>J27</f>
        <v>33725</v>
      </c>
      <c r="E10" s="82">
        <f>M27</f>
        <v>6.9250513347022591E-2</v>
      </c>
      <c r="F10" s="73" t="s">
        <v>1327</v>
      </c>
    </row>
    <row r="11" spans="1:6" x14ac:dyDescent="0.25">
      <c r="B11" s="72"/>
      <c r="C11" s="72"/>
      <c r="D11" s="72">
        <f>K27</f>
        <v>22800</v>
      </c>
      <c r="E11" s="82">
        <f>N27</f>
        <v>5.8929956060997671E-2</v>
      </c>
      <c r="F11" s="73" t="s">
        <v>1322</v>
      </c>
    </row>
    <row r="12" spans="1:6" x14ac:dyDescent="0.25">
      <c r="B12" s="72"/>
      <c r="C12" s="72"/>
      <c r="D12" s="72"/>
      <c r="E12" s="82"/>
      <c r="F12" s="73"/>
    </row>
    <row r="13" spans="1:6" x14ac:dyDescent="0.25">
      <c r="A13" t="s">
        <v>1312</v>
      </c>
      <c r="B13" s="72">
        <f>B29</f>
        <v>50800</v>
      </c>
      <c r="C13" s="72">
        <f>C29</f>
        <v>42.333333333333336</v>
      </c>
      <c r="D13" s="72">
        <f>I29</f>
        <v>27249.119999999999</v>
      </c>
      <c r="E13" s="82">
        <f>L29</f>
        <v>5.3429647058823526E-2</v>
      </c>
      <c r="F13" s="73" t="s">
        <v>1321</v>
      </c>
    </row>
    <row r="14" spans="1:6" x14ac:dyDescent="0.25">
      <c r="B14" s="72"/>
      <c r="C14" s="72"/>
      <c r="D14" s="72">
        <f>J29</f>
        <v>18034</v>
      </c>
      <c r="E14" s="82">
        <f>M29</f>
        <v>3.7030800821355236E-2</v>
      </c>
      <c r="F14" s="73" t="s">
        <v>1327</v>
      </c>
    </row>
    <row r="15" spans="1:6" x14ac:dyDescent="0.25">
      <c r="B15" s="72"/>
      <c r="C15" s="72"/>
      <c r="D15" s="72">
        <f>K29</f>
        <v>12192</v>
      </c>
      <c r="E15" s="82">
        <f>N29</f>
        <v>3.1512018609459812E-2</v>
      </c>
      <c r="F15" s="73" t="s">
        <v>1322</v>
      </c>
    </row>
    <row r="16" spans="1:6" x14ac:dyDescent="0.25">
      <c r="B16" s="72"/>
      <c r="C16" s="72"/>
      <c r="D16" s="72"/>
      <c r="E16" s="82"/>
      <c r="F16" s="73"/>
    </row>
    <row r="17" spans="1:23" x14ac:dyDescent="0.25">
      <c r="A17" t="s">
        <v>1313</v>
      </c>
      <c r="B17" s="77" t="s">
        <v>1336</v>
      </c>
      <c r="C17" s="77"/>
      <c r="D17" s="72">
        <f>I31</f>
        <v>30600</v>
      </c>
      <c r="E17" s="82">
        <v>0.06</v>
      </c>
      <c r="F17" s="73" t="s">
        <v>1321</v>
      </c>
    </row>
    <row r="18" spans="1:23" x14ac:dyDescent="0.25">
      <c r="B18" s="72" t="s">
        <v>1337</v>
      </c>
      <c r="C18" s="72"/>
      <c r="D18" s="72">
        <f>J31</f>
        <v>29220</v>
      </c>
      <c r="E18" s="82">
        <v>0.06</v>
      </c>
      <c r="F18" s="73" t="s">
        <v>1327</v>
      </c>
    </row>
    <row r="19" spans="1:23" x14ac:dyDescent="0.25">
      <c r="B19" s="72" t="s">
        <v>1338</v>
      </c>
      <c r="C19" s="72"/>
      <c r="D19" s="72">
        <f>K31</f>
        <v>23214</v>
      </c>
      <c r="E19" s="74">
        <v>0.06</v>
      </c>
      <c r="F19" s="73" t="s">
        <v>1322</v>
      </c>
    </row>
    <row r="20" spans="1:23" x14ac:dyDescent="0.25">
      <c r="B20" s="72"/>
      <c r="C20" s="72"/>
      <c r="D20" s="72"/>
      <c r="E20" s="74"/>
      <c r="F20" s="73"/>
    </row>
    <row r="21" spans="1:23" x14ac:dyDescent="0.25">
      <c r="B21" s="72"/>
      <c r="C21" s="72"/>
      <c r="D21" s="72"/>
      <c r="E21" s="74"/>
      <c r="F21" s="73"/>
      <c r="I21" s="72"/>
      <c r="R21" s="29" t="s">
        <v>1391</v>
      </c>
    </row>
    <row r="22" spans="1:23" x14ac:dyDescent="0.25">
      <c r="B22" s="72"/>
      <c r="C22" s="72"/>
      <c r="D22" s="72"/>
      <c r="E22" s="72"/>
      <c r="F22" s="73"/>
    </row>
    <row r="23" spans="1:23" x14ac:dyDescent="0.25">
      <c r="A23" s="121"/>
      <c r="B23" s="118"/>
      <c r="C23" s="118"/>
      <c r="D23" s="473" t="s">
        <v>1333</v>
      </c>
      <c r="E23" s="474"/>
      <c r="F23" s="475" t="s">
        <v>1342</v>
      </c>
      <c r="G23" s="476"/>
      <c r="H23" s="477"/>
      <c r="I23" s="475" t="s">
        <v>1343</v>
      </c>
      <c r="J23" s="476"/>
      <c r="K23" s="477"/>
      <c r="L23" s="475" t="s">
        <v>1326</v>
      </c>
      <c r="M23" s="476"/>
      <c r="N23" s="477"/>
      <c r="R23" s="475" t="s">
        <v>1343</v>
      </c>
      <c r="S23" s="476"/>
      <c r="T23" s="477"/>
      <c r="U23" s="475" t="s">
        <v>1326</v>
      </c>
      <c r="V23" s="476"/>
      <c r="W23" s="477"/>
    </row>
    <row r="24" spans="1:23" ht="45" x14ac:dyDescent="0.25">
      <c r="A24" s="122"/>
      <c r="B24" s="119" t="s">
        <v>1320</v>
      </c>
      <c r="C24" s="120" t="s">
        <v>1305</v>
      </c>
      <c r="D24" s="116" t="s">
        <v>1324</v>
      </c>
      <c r="E24" s="117" t="s">
        <v>1323</v>
      </c>
      <c r="F24" s="110" t="s">
        <v>1330</v>
      </c>
      <c r="G24" s="111" t="s">
        <v>1331</v>
      </c>
      <c r="H24" s="112" t="s">
        <v>1332</v>
      </c>
      <c r="I24" s="110" t="s">
        <v>1321</v>
      </c>
      <c r="J24" s="111" t="s">
        <v>1327</v>
      </c>
      <c r="K24" s="112" t="s">
        <v>1322</v>
      </c>
      <c r="L24" s="113" t="s">
        <v>1339</v>
      </c>
      <c r="M24" s="114" t="s">
        <v>1340</v>
      </c>
      <c r="N24" s="115" t="s">
        <v>1341</v>
      </c>
      <c r="R24" s="110" t="s">
        <v>1321</v>
      </c>
      <c r="S24" s="114" t="s">
        <v>1374</v>
      </c>
      <c r="T24" s="115" t="s">
        <v>1375</v>
      </c>
      <c r="U24" s="113" t="s">
        <v>1339</v>
      </c>
      <c r="V24" s="114" t="s">
        <v>1340</v>
      </c>
      <c r="W24" s="115" t="s">
        <v>1341</v>
      </c>
    </row>
    <row r="25" spans="1:23" x14ac:dyDescent="0.25">
      <c r="A25" s="123" t="s">
        <v>1307</v>
      </c>
      <c r="B25" s="87">
        <f>Demonstration!R19</f>
        <v>185680</v>
      </c>
      <c r="C25" s="87">
        <f>B25/1200</f>
        <v>154.73333333333332</v>
      </c>
      <c r="D25" s="87">
        <f>B25*(100*0.12)</f>
        <v>2228160</v>
      </c>
      <c r="E25" s="87">
        <f>D25/100</f>
        <v>22281.599999999999</v>
      </c>
      <c r="F25" s="95">
        <f>((100*2682)*0.12)*C25</f>
        <v>4979937.5999999996</v>
      </c>
      <c r="G25" s="87">
        <f>(((100*1775)*0.12)*C25)</f>
        <v>3295819.9999999995</v>
      </c>
      <c r="H25" s="96">
        <f>(((100*1200)*0.12)*C25)</f>
        <v>2228160</v>
      </c>
      <c r="I25" s="92">
        <f>F25/100</f>
        <v>49799.375999999997</v>
      </c>
      <c r="J25" s="87">
        <f>G25/100</f>
        <v>32958.199999999997</v>
      </c>
      <c r="K25" s="101">
        <f>H25/100</f>
        <v>22281.599999999999</v>
      </c>
      <c r="L25" s="104">
        <f>I25/510000</f>
        <v>9.7645835294117647E-2</v>
      </c>
      <c r="M25" s="88">
        <f>J25/487000</f>
        <v>6.7675975359342916E-2</v>
      </c>
      <c r="N25" s="105">
        <f>K25/386900</f>
        <v>5.7590074954768672E-2</v>
      </c>
      <c r="R25" s="95">
        <f>F25/100</f>
        <v>49799.375999999997</v>
      </c>
      <c r="S25" s="87">
        <f>(G25/100)*0.8</f>
        <v>26366.559999999998</v>
      </c>
      <c r="T25" s="101">
        <f>(H25/100)*0.7</f>
        <v>15597.119999999997</v>
      </c>
      <c r="U25" s="104">
        <f>R25/510000</f>
        <v>9.7645835294117647E-2</v>
      </c>
      <c r="V25" s="88">
        <f>S25/487000</f>
        <v>5.4140780287474329E-2</v>
      </c>
      <c r="W25" s="105">
        <f>T25/386900</f>
        <v>4.0313052468338065E-2</v>
      </c>
    </row>
    <row r="26" spans="1:23" x14ac:dyDescent="0.25">
      <c r="A26" s="124"/>
      <c r="B26" s="84"/>
      <c r="C26" s="147"/>
      <c r="D26" s="147"/>
      <c r="E26" s="147"/>
      <c r="F26" s="157"/>
      <c r="G26" s="147"/>
      <c r="H26" s="158"/>
      <c r="I26" s="150"/>
      <c r="J26" s="147"/>
      <c r="K26" s="159"/>
      <c r="L26" s="160"/>
      <c r="M26" s="161"/>
      <c r="N26" s="162"/>
      <c r="R26" s="97"/>
      <c r="S26" s="83"/>
      <c r="T26" s="102"/>
      <c r="U26" s="106"/>
      <c r="V26" s="85"/>
      <c r="W26" s="107"/>
    </row>
    <row r="27" spans="1:23" x14ac:dyDescent="0.25">
      <c r="A27" s="123" t="s">
        <v>1309</v>
      </c>
      <c r="B27" s="87">
        <v>190000</v>
      </c>
      <c r="C27" s="87">
        <f>B27/1200</f>
        <v>158.33333333333334</v>
      </c>
      <c r="D27" s="87">
        <f>B27*(100*0.12)</f>
        <v>2280000</v>
      </c>
      <c r="E27" s="87">
        <f>D27/100</f>
        <v>22800</v>
      </c>
      <c r="F27" s="95">
        <f>((100*2682)*0.12)*C27</f>
        <v>5095800</v>
      </c>
      <c r="G27" s="87">
        <f>(((100*1775)*0.12)*C27)</f>
        <v>3372500</v>
      </c>
      <c r="H27" s="96">
        <f>(((100*1200)*0.12)*C27)</f>
        <v>2280000</v>
      </c>
      <c r="I27" s="92">
        <f>F27/100</f>
        <v>50958</v>
      </c>
      <c r="J27" s="87">
        <f>G27/100</f>
        <v>33725</v>
      </c>
      <c r="K27" s="101">
        <f>H27/100</f>
        <v>22800</v>
      </c>
      <c r="L27" s="104">
        <f>I27/510000</f>
        <v>9.9917647058823528E-2</v>
      </c>
      <c r="M27" s="88">
        <f>J27/487000</f>
        <v>6.9250513347022591E-2</v>
      </c>
      <c r="N27" s="105">
        <f>K27/386900</f>
        <v>5.8929956060997671E-2</v>
      </c>
      <c r="R27" s="95">
        <f>F27/100</f>
        <v>50958</v>
      </c>
      <c r="S27" s="87">
        <f>(G27/100)*0.8</f>
        <v>26980</v>
      </c>
      <c r="T27" s="101">
        <f>(H27/100)*0.7</f>
        <v>15959.999999999998</v>
      </c>
      <c r="U27" s="104">
        <f>R27/510000</f>
        <v>9.9917647058823528E-2</v>
      </c>
      <c r="V27" s="88">
        <f>S27/487000</f>
        <v>5.540041067761807E-2</v>
      </c>
      <c r="W27" s="105">
        <f>T27/386900</f>
        <v>4.1250969242698367E-2</v>
      </c>
    </row>
    <row r="28" spans="1:23" x14ac:dyDescent="0.25">
      <c r="A28" s="124"/>
      <c r="B28" s="84"/>
      <c r="C28" s="84"/>
      <c r="D28" s="84"/>
      <c r="E28" s="84"/>
      <c r="F28" s="97"/>
      <c r="G28" s="83"/>
      <c r="H28" s="98"/>
      <c r="I28" s="93"/>
      <c r="J28" s="83"/>
      <c r="K28" s="102"/>
      <c r="L28" s="106"/>
      <c r="M28" s="85"/>
      <c r="N28" s="107"/>
      <c r="R28" s="97"/>
      <c r="S28" s="83"/>
      <c r="T28" s="102"/>
      <c r="U28" s="106"/>
      <c r="V28" s="85"/>
      <c r="W28" s="107"/>
    </row>
    <row r="29" spans="1:23" x14ac:dyDescent="0.25">
      <c r="A29" s="123" t="s">
        <v>1312</v>
      </c>
      <c r="B29" s="87">
        <v>50800</v>
      </c>
      <c r="C29" s="87">
        <f>B29/1200</f>
        <v>42.333333333333336</v>
      </c>
      <c r="D29" s="87">
        <f>B29*(100*0.24)</f>
        <v>1219200</v>
      </c>
      <c r="E29" s="87">
        <f>D29/100</f>
        <v>12192</v>
      </c>
      <c r="F29" s="95">
        <f>(((100*2682)*0.24)*C29)</f>
        <v>2724912</v>
      </c>
      <c r="G29" s="87">
        <f>(((100*1775)*0.24)*C29)</f>
        <v>1803400</v>
      </c>
      <c r="H29" s="96">
        <f>(((100*1200)*0.24)*C29)</f>
        <v>1219200</v>
      </c>
      <c r="I29" s="92">
        <f>F29/100</f>
        <v>27249.119999999999</v>
      </c>
      <c r="J29" s="87">
        <f>G29/100</f>
        <v>18034</v>
      </c>
      <c r="K29" s="101">
        <f>H29/100</f>
        <v>12192</v>
      </c>
      <c r="L29" s="104">
        <f>I29/510000</f>
        <v>5.3429647058823526E-2</v>
      </c>
      <c r="M29" s="88">
        <f>J29/487000</f>
        <v>3.7030800821355236E-2</v>
      </c>
      <c r="N29" s="105">
        <f>K29/386900</f>
        <v>3.1512018609459812E-2</v>
      </c>
      <c r="R29" s="95">
        <f>F29/100</f>
        <v>27249.119999999999</v>
      </c>
      <c r="S29" s="87">
        <f>(G29/100)*0.8</f>
        <v>14427.2</v>
      </c>
      <c r="T29" s="101">
        <f>(H29/100)*0.7</f>
        <v>8534.4</v>
      </c>
      <c r="U29" s="104">
        <f>R29/510000</f>
        <v>5.3429647058823526E-2</v>
      </c>
      <c r="V29" s="88">
        <f>S29/487000</f>
        <v>2.962464065708419E-2</v>
      </c>
      <c r="W29" s="105">
        <f>T29/386900</f>
        <v>2.2058413026621867E-2</v>
      </c>
    </row>
    <row r="30" spans="1:23" x14ac:dyDescent="0.25">
      <c r="A30" s="124"/>
      <c r="B30" s="84"/>
      <c r="C30" s="84"/>
      <c r="D30" s="84"/>
      <c r="E30" s="84"/>
      <c r="F30" s="97"/>
      <c r="G30" s="83"/>
      <c r="H30" s="98"/>
      <c r="I30" s="93"/>
      <c r="J30" s="83"/>
      <c r="K30" s="102"/>
      <c r="L30" s="106"/>
      <c r="M30" s="85"/>
      <c r="N30" s="107"/>
      <c r="R30" s="97"/>
      <c r="S30" s="83"/>
      <c r="T30" s="102"/>
      <c r="U30" s="106"/>
      <c r="V30" s="85"/>
      <c r="W30" s="107"/>
    </row>
    <row r="31" spans="1:23" x14ac:dyDescent="0.25">
      <c r="A31" s="123" t="s">
        <v>1313</v>
      </c>
      <c r="B31" s="87" t="s">
        <v>1334</v>
      </c>
      <c r="C31" s="87">
        <f>(510000*0.06)/2682</f>
        <v>11.409395973154362</v>
      </c>
      <c r="D31" s="87"/>
      <c r="E31" s="87"/>
      <c r="F31" s="95">
        <f>(100*510000)*0.06</f>
        <v>3060000</v>
      </c>
      <c r="G31" s="87">
        <f>(487000*100)*0.06</f>
        <v>2922000</v>
      </c>
      <c r="H31" s="96">
        <f>(386900*100)*0.06</f>
        <v>2321400</v>
      </c>
      <c r="I31" s="92">
        <f>F31/100</f>
        <v>30600</v>
      </c>
      <c r="J31" s="87">
        <f>G31/100</f>
        <v>29220</v>
      </c>
      <c r="K31" s="101">
        <f>H31/100</f>
        <v>23214</v>
      </c>
      <c r="L31" s="104">
        <f>I31/510000</f>
        <v>0.06</v>
      </c>
      <c r="M31" s="88">
        <f>J31/487000</f>
        <v>0.06</v>
      </c>
      <c r="N31" s="105">
        <f>K31/386900</f>
        <v>0.06</v>
      </c>
      <c r="R31" s="95">
        <f>F31/100</f>
        <v>30600</v>
      </c>
      <c r="S31" s="87">
        <f>(G31/100)*0.8</f>
        <v>23376</v>
      </c>
      <c r="T31" s="101">
        <f>(H31/100)*0.7</f>
        <v>16249.8</v>
      </c>
      <c r="U31" s="104">
        <f>R31/510000</f>
        <v>0.06</v>
      </c>
      <c r="V31" s="88">
        <f>S31/487000</f>
        <v>4.8000000000000001E-2</v>
      </c>
      <c r="W31" s="105">
        <f>T31/386900</f>
        <v>4.1999999999999996E-2</v>
      </c>
    </row>
    <row r="32" spans="1:23" x14ac:dyDescent="0.25">
      <c r="A32" s="123"/>
      <c r="B32" s="87"/>
      <c r="C32" s="87">
        <f>(487000*0.06)/1775</f>
        <v>16.461971830985917</v>
      </c>
      <c r="D32" s="87"/>
      <c r="E32" s="86"/>
      <c r="F32" s="99"/>
      <c r="G32" s="86"/>
      <c r="H32" s="100"/>
      <c r="I32" s="92"/>
      <c r="J32" s="87"/>
      <c r="K32" s="103"/>
      <c r="L32" s="108"/>
      <c r="M32" s="89"/>
      <c r="N32" s="109"/>
      <c r="R32" s="95"/>
      <c r="S32" s="87"/>
      <c r="T32" s="103"/>
      <c r="U32" s="108"/>
      <c r="V32" s="89"/>
      <c r="W32" s="109"/>
    </row>
    <row r="33" spans="1:23" x14ac:dyDescent="0.25">
      <c r="A33" s="99"/>
      <c r="B33" s="87"/>
      <c r="C33" s="87">
        <f>(286900*0.06)/1200</f>
        <v>14.345000000000001</v>
      </c>
      <c r="D33" s="87"/>
      <c r="E33" s="86"/>
      <c r="F33" s="99"/>
      <c r="G33" s="86"/>
      <c r="H33" s="100"/>
      <c r="I33" s="94"/>
      <c r="J33" s="86"/>
      <c r="K33" s="103"/>
      <c r="L33" s="108"/>
      <c r="M33" s="89"/>
      <c r="N33" s="109"/>
      <c r="R33" s="99"/>
      <c r="S33" s="86"/>
      <c r="T33" s="103"/>
      <c r="U33" s="108"/>
      <c r="V33" s="89"/>
      <c r="W33" s="109"/>
    </row>
    <row r="34" spans="1:23" x14ac:dyDescent="0.25">
      <c r="L34" s="81"/>
      <c r="M34" s="81"/>
      <c r="N34" s="81"/>
    </row>
    <row r="35" spans="1:23" x14ac:dyDescent="0.25">
      <c r="A35" t="s">
        <v>1328</v>
      </c>
      <c r="L35" s="81"/>
      <c r="M35" s="81"/>
      <c r="N35" s="81"/>
    </row>
    <row r="36" spans="1:23" x14ac:dyDescent="0.25">
      <c r="A36" t="s">
        <v>1329</v>
      </c>
    </row>
    <row r="37" spans="1:23" x14ac:dyDescent="0.25">
      <c r="A37" t="s">
        <v>1335</v>
      </c>
    </row>
    <row r="39" spans="1:23" x14ac:dyDescent="0.25">
      <c r="S39" s="72"/>
    </row>
    <row r="40" spans="1:23" x14ac:dyDescent="0.25">
      <c r="S40" s="72"/>
    </row>
    <row r="41" spans="1:23" x14ac:dyDescent="0.25">
      <c r="S41" s="72"/>
    </row>
    <row r="44" spans="1:23" x14ac:dyDescent="0.25">
      <c r="R44" s="29" t="s">
        <v>1392</v>
      </c>
    </row>
    <row r="46" spans="1:23" x14ac:dyDescent="0.25">
      <c r="A46" s="121"/>
      <c r="B46" s="118"/>
      <c r="C46" s="118"/>
      <c r="D46" s="473" t="s">
        <v>1333</v>
      </c>
      <c r="E46" s="474"/>
      <c r="F46" s="475" t="s">
        <v>1342</v>
      </c>
      <c r="G46" s="476"/>
      <c r="H46" s="477"/>
      <c r="I46" s="475" t="s">
        <v>1343</v>
      </c>
      <c r="J46" s="476"/>
      <c r="K46" s="477"/>
      <c r="L46" s="475" t="s">
        <v>1326</v>
      </c>
      <c r="M46" s="476"/>
      <c r="N46" s="477"/>
      <c r="R46" s="478" t="s">
        <v>1343</v>
      </c>
      <c r="S46" s="479"/>
      <c r="T46" s="479"/>
      <c r="U46" s="480"/>
      <c r="V46" s="170"/>
      <c r="W46" s="170"/>
    </row>
    <row r="47" spans="1:23" ht="45" x14ac:dyDescent="0.25">
      <c r="A47" s="122"/>
      <c r="B47" s="119" t="s">
        <v>1320</v>
      </c>
      <c r="C47" s="120" t="s">
        <v>1305</v>
      </c>
      <c r="D47" s="116" t="s">
        <v>1373</v>
      </c>
      <c r="E47" s="117" t="s">
        <v>1323</v>
      </c>
      <c r="F47" s="110" t="s">
        <v>1330</v>
      </c>
      <c r="G47" s="111" t="s">
        <v>1331</v>
      </c>
      <c r="H47" s="112" t="s">
        <v>1332</v>
      </c>
      <c r="I47" s="110" t="s">
        <v>1321</v>
      </c>
      <c r="J47" s="111" t="s">
        <v>1327</v>
      </c>
      <c r="K47" s="112" t="s">
        <v>1322</v>
      </c>
      <c r="L47" s="113" t="s">
        <v>1339</v>
      </c>
      <c r="M47" s="114" t="s">
        <v>1340</v>
      </c>
      <c r="N47" s="115" t="s">
        <v>1341</v>
      </c>
      <c r="R47" s="110" t="s">
        <v>1393</v>
      </c>
      <c r="S47" s="111" t="s">
        <v>1394</v>
      </c>
      <c r="T47" s="111" t="s">
        <v>1395</v>
      </c>
      <c r="U47" s="176"/>
      <c r="V47" s="167"/>
      <c r="W47" s="167"/>
    </row>
    <row r="48" spans="1:23" ht="45" x14ac:dyDescent="0.25">
      <c r="A48" s="155" t="s">
        <v>1376</v>
      </c>
      <c r="B48" s="138">
        <f>B25</f>
        <v>185680</v>
      </c>
      <c r="C48" s="138">
        <f>B48/1200</f>
        <v>154.73333333333332</v>
      </c>
      <c r="D48" s="138">
        <f>B48*(25*0.12)</f>
        <v>557040</v>
      </c>
      <c r="E48" s="138">
        <f>D48/100</f>
        <v>5570.4</v>
      </c>
      <c r="F48" s="139">
        <f>(((25*2682)*0.12)*C48)</f>
        <v>1244984.3999999999</v>
      </c>
      <c r="G48" s="138">
        <f>(((25*1775)*0.12)*C48)</f>
        <v>823954.99999999988</v>
      </c>
      <c r="H48" s="140">
        <f>(((25*1200)*0.12)*C48)</f>
        <v>557040</v>
      </c>
      <c r="I48" s="141">
        <f>F48/25</f>
        <v>49799.375999999997</v>
      </c>
      <c r="J48" s="138">
        <f>G48/25</f>
        <v>32958.199999999997</v>
      </c>
      <c r="K48" s="142">
        <f>H48/25</f>
        <v>22281.599999999999</v>
      </c>
      <c r="L48" s="143">
        <f>I48/510000</f>
        <v>9.7645835294117647E-2</v>
      </c>
      <c r="M48" s="144">
        <f>J48/487000</f>
        <v>6.7675975359342916E-2</v>
      </c>
      <c r="N48" s="145">
        <f>K48/386900</f>
        <v>5.7590074954768672E-2</v>
      </c>
      <c r="R48" s="174" t="s">
        <v>1396</v>
      </c>
      <c r="S48" s="165" t="s">
        <v>1397</v>
      </c>
      <c r="T48" s="166" t="s">
        <v>1398</v>
      </c>
      <c r="U48" s="171" t="s">
        <v>1399</v>
      </c>
      <c r="V48" s="168"/>
      <c r="W48" s="168"/>
    </row>
    <row r="49" spans="1:23" x14ac:dyDescent="0.25">
      <c r="A49" s="124"/>
      <c r="B49" s="84"/>
      <c r="C49" s="84"/>
      <c r="D49" s="84"/>
      <c r="E49" s="84"/>
      <c r="F49" s="97"/>
      <c r="G49" s="83"/>
      <c r="H49" s="98"/>
      <c r="I49" s="156"/>
      <c r="J49" s="83"/>
      <c r="K49" s="102"/>
      <c r="L49" s="106"/>
      <c r="M49" s="85"/>
      <c r="N49" s="107"/>
      <c r="R49" s="175"/>
      <c r="S49" s="83"/>
      <c r="T49" s="102"/>
      <c r="U49" s="172"/>
      <c r="V49" s="169"/>
      <c r="W49" s="169"/>
    </row>
    <row r="50" spans="1:23" x14ac:dyDescent="0.25">
      <c r="A50" s="137" t="s">
        <v>1309</v>
      </c>
      <c r="B50" s="138">
        <v>190000</v>
      </c>
      <c r="C50" s="138">
        <f>B50/1200</f>
        <v>158.33333333333334</v>
      </c>
      <c r="D50" s="138">
        <f>B50*(25*0.12)</f>
        <v>570000</v>
      </c>
      <c r="E50" s="138">
        <f>D50/100</f>
        <v>5700</v>
      </c>
      <c r="F50" s="139">
        <f>((25*2682)*0.12)*C50</f>
        <v>1273950</v>
      </c>
      <c r="G50" s="138">
        <f>(((25*1775)*0.12)*C50)</f>
        <v>843125</v>
      </c>
      <c r="H50" s="140">
        <f>(((25*1200)*0.12)*C50)</f>
        <v>570000</v>
      </c>
      <c r="I50" s="141">
        <f>F50/25</f>
        <v>50958</v>
      </c>
      <c r="J50" s="138">
        <f>G50/25</f>
        <v>33725</v>
      </c>
      <c r="K50" s="142">
        <f>H50/25</f>
        <v>22800</v>
      </c>
      <c r="L50" s="143">
        <f>I50/510000</f>
        <v>9.9917647058823528E-2</v>
      </c>
      <c r="M50" s="144">
        <f>J50/487000</f>
        <v>6.9250513347022591E-2</v>
      </c>
      <c r="N50" s="145">
        <f>K50/386900</f>
        <v>5.8929956060997671E-2</v>
      </c>
      <c r="R50" s="139">
        <f>O50/25</f>
        <v>0</v>
      </c>
      <c r="S50" s="138">
        <f>P50/25</f>
        <v>0</v>
      </c>
      <c r="T50" s="142">
        <f>Q50/25</f>
        <v>0</v>
      </c>
      <c r="U50" s="173">
        <f>R50/510000</f>
        <v>0</v>
      </c>
      <c r="V50" s="168"/>
      <c r="W50" s="168"/>
    </row>
    <row r="51" spans="1:23" x14ac:dyDescent="0.25">
      <c r="A51" s="124"/>
      <c r="B51" s="84"/>
      <c r="C51" s="84"/>
      <c r="D51" s="84"/>
      <c r="E51" s="84"/>
      <c r="F51" s="97"/>
      <c r="G51" s="83"/>
      <c r="H51" s="98"/>
      <c r="I51" s="93"/>
      <c r="J51" s="83"/>
      <c r="K51" s="102"/>
      <c r="L51" s="106"/>
      <c r="M51" s="85"/>
      <c r="N51" s="107"/>
      <c r="R51" s="97"/>
      <c r="S51" s="83"/>
      <c r="T51" s="102"/>
      <c r="U51" s="172"/>
      <c r="V51" s="169"/>
      <c r="W51" s="169"/>
    </row>
    <row r="52" spans="1:23" x14ac:dyDescent="0.25">
      <c r="A52" s="137" t="s">
        <v>1312</v>
      </c>
      <c r="B52" s="138">
        <v>50800</v>
      </c>
      <c r="C52" s="138">
        <f>B52/1200</f>
        <v>42.333333333333336</v>
      </c>
      <c r="D52" s="138">
        <f>B52*(25*0.24)</f>
        <v>304800</v>
      </c>
      <c r="E52" s="138">
        <f>D52/100</f>
        <v>3048</v>
      </c>
      <c r="F52" s="139">
        <f>(((25*2682)*0.24)*C52)</f>
        <v>681228</v>
      </c>
      <c r="G52" s="138">
        <f>(((25*1775)*0.24)*C52)</f>
        <v>450850</v>
      </c>
      <c r="H52" s="140">
        <f>(((25*1200)*0.24)*C52)</f>
        <v>304800</v>
      </c>
      <c r="I52" s="141">
        <f>F52/25</f>
        <v>27249.119999999999</v>
      </c>
      <c r="J52" s="138">
        <f>G52/25</f>
        <v>18034</v>
      </c>
      <c r="K52" s="142">
        <f>H52/25</f>
        <v>12192</v>
      </c>
      <c r="L52" s="143">
        <f>I52/510000</f>
        <v>5.3429647058823526E-2</v>
      </c>
      <c r="M52" s="144">
        <f>J52/487000</f>
        <v>3.7030800821355236E-2</v>
      </c>
      <c r="N52" s="145">
        <f>K52/386900</f>
        <v>3.1512018609459812E-2</v>
      </c>
      <c r="R52" s="139">
        <f>O52/25</f>
        <v>0</v>
      </c>
      <c r="S52" s="138">
        <f>P52/25</f>
        <v>0</v>
      </c>
      <c r="T52" s="142">
        <f>Q52/25</f>
        <v>0</v>
      </c>
      <c r="U52" s="173">
        <f>R52/510000</f>
        <v>0</v>
      </c>
      <c r="V52" s="168"/>
      <c r="W52" s="168"/>
    </row>
    <row r="53" spans="1:23" x14ac:dyDescent="0.25">
      <c r="A53" s="124"/>
      <c r="B53" s="84"/>
      <c r="C53" s="84"/>
      <c r="D53" s="84"/>
      <c r="E53" s="84"/>
      <c r="F53" s="97"/>
      <c r="G53" s="83"/>
      <c r="H53" s="98"/>
      <c r="I53" s="93"/>
      <c r="J53" s="83"/>
      <c r="K53" s="102"/>
      <c r="L53" s="106"/>
      <c r="M53" s="85"/>
      <c r="N53" s="107"/>
      <c r="R53" s="97"/>
      <c r="S53" s="83"/>
      <c r="T53" s="102"/>
      <c r="U53" s="172"/>
      <c r="V53" s="169"/>
      <c r="W53" s="169"/>
    </row>
    <row r="54" spans="1:23" x14ac:dyDescent="0.25">
      <c r="A54" s="137" t="s">
        <v>1313</v>
      </c>
      <c r="B54" s="138" t="s">
        <v>1334</v>
      </c>
      <c r="C54" s="138">
        <f>(510000*0.06)/2682</f>
        <v>11.409395973154362</v>
      </c>
      <c r="D54" s="138"/>
      <c r="E54" s="138"/>
      <c r="F54" s="139">
        <f>(25*510000)*0.06</f>
        <v>765000</v>
      </c>
      <c r="G54" s="138">
        <f>(487000*25)*0.06</f>
        <v>730500</v>
      </c>
      <c r="H54" s="140">
        <f>(386900*25)*0.06</f>
        <v>580350</v>
      </c>
      <c r="I54" s="141">
        <f>F54/25</f>
        <v>30600</v>
      </c>
      <c r="J54" s="138">
        <f>G54/25</f>
        <v>29220</v>
      </c>
      <c r="K54" s="142">
        <f>H54/25</f>
        <v>23214</v>
      </c>
      <c r="L54" s="143">
        <f>I54/510000</f>
        <v>0.06</v>
      </c>
      <c r="M54" s="144">
        <f>J54/487000</f>
        <v>0.06</v>
      </c>
      <c r="N54" s="145">
        <f>K54/386900</f>
        <v>0.06</v>
      </c>
      <c r="R54" s="139">
        <f>O54/25</f>
        <v>0</v>
      </c>
      <c r="S54" s="138">
        <f>P54/25</f>
        <v>0</v>
      </c>
      <c r="T54" s="142">
        <f>Q54/25</f>
        <v>0</v>
      </c>
      <c r="U54" s="173">
        <f>R54/510000</f>
        <v>0</v>
      </c>
      <c r="V54" s="168"/>
      <c r="W54" s="168"/>
    </row>
    <row r="55" spans="1:23" x14ac:dyDescent="0.25">
      <c r="A55" s="146"/>
      <c r="B55" s="147"/>
      <c r="C55" s="147">
        <f>(487000*0.06)/1775</f>
        <v>16.461971830985917</v>
      </c>
      <c r="D55" s="147"/>
      <c r="E55" s="90"/>
      <c r="F55" s="148"/>
      <c r="G55" s="90"/>
      <c r="H55" s="149"/>
      <c r="I55" s="150"/>
      <c r="J55" s="147"/>
      <c r="K55" s="91"/>
      <c r="L55" s="151"/>
      <c r="M55" s="152"/>
      <c r="N55" s="153"/>
    </row>
    <row r="56" spans="1:23" x14ac:dyDescent="0.25">
      <c r="A56" s="148"/>
      <c r="B56" s="147"/>
      <c r="C56" s="147">
        <f>(286900*0.06)/1200</f>
        <v>14.345000000000001</v>
      </c>
      <c r="D56" s="147"/>
      <c r="E56" s="90"/>
      <c r="F56" s="148"/>
      <c r="G56" s="90"/>
      <c r="H56" s="149"/>
      <c r="I56" s="154"/>
      <c r="J56" s="90"/>
      <c r="K56" s="91"/>
      <c r="L56" s="151"/>
      <c r="M56" s="152"/>
      <c r="N56" s="153"/>
    </row>
  </sheetData>
  <mergeCells count="11">
    <mergeCell ref="R23:T23"/>
    <mergeCell ref="U23:W23"/>
    <mergeCell ref="R46:U46"/>
    <mergeCell ref="I23:K23"/>
    <mergeCell ref="L23:N23"/>
    <mergeCell ref="D23:E23"/>
    <mergeCell ref="D46:E46"/>
    <mergeCell ref="I46:K46"/>
    <mergeCell ref="L46:N46"/>
    <mergeCell ref="F23:H23"/>
    <mergeCell ref="F46:H46"/>
  </mergeCells>
  <pageMargins left="0.7" right="0.7" top="0.75" bottom="0.75" header="0.3" footer="0.3"/>
  <pageSetup paperSize="17" scale="65" fitToHeight="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P494" sqref="P494"/>
    </sheetView>
  </sheetViews>
  <sheetFormatPr defaultRowHeight="15" x14ac:dyDescent="0.25"/>
  <cols>
    <col min="1" max="1" width="43.85546875" customWidth="1"/>
    <col min="2" max="4" width="15.42578125" customWidth="1"/>
    <col min="5" max="5" width="26.7109375" customWidth="1"/>
    <col min="6" max="6" width="24" customWidth="1"/>
  </cols>
  <sheetData>
    <row r="1" spans="1:10" x14ac:dyDescent="0.25">
      <c r="A1" t="s">
        <v>1403</v>
      </c>
      <c r="I1" s="179"/>
      <c r="J1" t="s">
        <v>1415</v>
      </c>
    </row>
    <row r="3" spans="1:10" x14ac:dyDescent="0.25">
      <c r="B3" s="180">
        <v>2017</v>
      </c>
      <c r="C3" s="180">
        <v>2017</v>
      </c>
      <c r="D3" s="180"/>
      <c r="E3" s="180">
        <v>2017</v>
      </c>
      <c r="F3" s="180">
        <v>2017</v>
      </c>
    </row>
    <row r="4" spans="1:10" x14ac:dyDescent="0.25">
      <c r="B4" s="180" t="s">
        <v>1406</v>
      </c>
      <c r="C4" s="180" t="s">
        <v>1412</v>
      </c>
      <c r="D4" s="188"/>
      <c r="E4" s="180" t="s">
        <v>1407</v>
      </c>
      <c r="F4" s="180" t="s">
        <v>1412</v>
      </c>
    </row>
    <row r="5" spans="1:10" x14ac:dyDescent="0.25">
      <c r="A5" t="s">
        <v>1405</v>
      </c>
      <c r="B5" s="184">
        <v>469111</v>
      </c>
      <c r="C5" s="183">
        <v>575000</v>
      </c>
      <c r="D5" s="186"/>
      <c r="E5" s="184">
        <v>399900</v>
      </c>
      <c r="F5" s="183">
        <v>575000</v>
      </c>
      <c r="G5" t="s">
        <v>1413</v>
      </c>
    </row>
    <row r="6" spans="1:10" x14ac:dyDescent="0.25">
      <c r="A6" t="s">
        <v>1414</v>
      </c>
      <c r="B6" s="181">
        <v>135</v>
      </c>
      <c r="C6" s="183">
        <v>100</v>
      </c>
      <c r="D6" s="186"/>
      <c r="E6" s="186">
        <v>1154</v>
      </c>
      <c r="F6" s="183">
        <v>100</v>
      </c>
    </row>
    <row r="7" spans="1:10" x14ac:dyDescent="0.25">
      <c r="A7" t="s">
        <v>1404</v>
      </c>
      <c r="B7" s="184">
        <v>280033</v>
      </c>
      <c r="C7" s="181">
        <f>B7</f>
        <v>280033</v>
      </c>
      <c r="D7" s="186"/>
      <c r="E7" s="181">
        <f>B7</f>
        <v>280033</v>
      </c>
      <c r="F7" s="181">
        <f>B7</f>
        <v>280033</v>
      </c>
    </row>
    <row r="8" spans="1:10" x14ac:dyDescent="0.25">
      <c r="B8" s="181"/>
      <c r="C8" s="181"/>
      <c r="D8" s="186"/>
      <c r="E8" s="181"/>
      <c r="F8" s="181"/>
    </row>
    <row r="9" spans="1:10" x14ac:dyDescent="0.25">
      <c r="A9" t="s">
        <v>1409</v>
      </c>
      <c r="B9" s="181">
        <f>B5-B7</f>
        <v>189078</v>
      </c>
      <c r="C9" s="181">
        <f>C5-C7</f>
        <v>294967</v>
      </c>
      <c r="D9" s="181"/>
      <c r="E9" s="181">
        <f>E5-E7</f>
        <v>119867</v>
      </c>
      <c r="F9" s="181">
        <f>F5-F7</f>
        <v>294967</v>
      </c>
    </row>
    <row r="10" spans="1:10" x14ac:dyDescent="0.25">
      <c r="B10" s="181"/>
      <c r="C10" s="181"/>
      <c r="D10" s="181"/>
      <c r="E10" s="181"/>
      <c r="F10" s="181"/>
    </row>
    <row r="11" spans="1:10" x14ac:dyDescent="0.25">
      <c r="A11" t="s">
        <v>1410</v>
      </c>
      <c r="B11" s="181">
        <v>2600</v>
      </c>
      <c r="C11" s="181">
        <v>2600</v>
      </c>
      <c r="D11" s="181"/>
      <c r="E11" s="181">
        <v>2600</v>
      </c>
      <c r="F11" s="181">
        <v>2600</v>
      </c>
      <c r="G11" t="s">
        <v>1411</v>
      </c>
    </row>
    <row r="12" spans="1:10" x14ac:dyDescent="0.25">
      <c r="B12" s="181"/>
      <c r="C12" s="181"/>
      <c r="D12" s="181"/>
      <c r="E12" s="181"/>
      <c r="F12" s="181"/>
    </row>
    <row r="13" spans="1:10" x14ac:dyDescent="0.25">
      <c r="A13" t="s">
        <v>1408</v>
      </c>
      <c r="B13" s="182">
        <f>B9/B11</f>
        <v>72.722307692307695</v>
      </c>
      <c r="C13" s="185">
        <f>C9/C11</f>
        <v>113.44884615384615</v>
      </c>
      <c r="D13" s="182"/>
      <c r="E13" s="185">
        <f>E9/E11</f>
        <v>46.102692307692308</v>
      </c>
      <c r="F13" s="185">
        <f>F9/F11</f>
        <v>113.44884615384615</v>
      </c>
    </row>
    <row r="15" spans="1:10" x14ac:dyDescent="0.25">
      <c r="C15" s="187">
        <f>((((B5*B6)+(C5*C6))/(B6+C6))-C7)/C11</f>
        <v>90.052749590834694</v>
      </c>
      <c r="D15" t="s">
        <v>1416</v>
      </c>
      <c r="F15" s="187">
        <f>((((E5*E6)+(F5*F6))/(E6+F6))-F7)/F11</f>
        <v>51.473198993988468</v>
      </c>
      <c r="G15" t="s">
        <v>1416</v>
      </c>
    </row>
    <row r="18" spans="1:6" x14ac:dyDescent="0.25">
      <c r="A18" t="s">
        <v>1419</v>
      </c>
      <c r="C18" s="189">
        <f>C15*2750*0.125</f>
        <v>30955.632671849427</v>
      </c>
      <c r="F18" s="189">
        <f>F15*2750*0.125</f>
        <v>17693.912154183537</v>
      </c>
    </row>
    <row r="20" spans="1:6" x14ac:dyDescent="0.25">
      <c r="A20" t="s">
        <v>1417</v>
      </c>
      <c r="C20" s="189">
        <f>50*2750*0.12*C15</f>
        <v>1485870.3682487723</v>
      </c>
      <c r="F20" s="189">
        <f>50*2750*0.12*F15</f>
        <v>849307.78340080974</v>
      </c>
    </row>
    <row r="22" spans="1:6" x14ac:dyDescent="0.25">
      <c r="A22" t="s">
        <v>1418</v>
      </c>
      <c r="C22" s="189">
        <f>100*2750*0.12*C15</f>
        <v>2971740.7364975447</v>
      </c>
      <c r="F22" s="189">
        <f>100*2750*0.12*F15</f>
        <v>1698615.5668016195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12" sqref="I12"/>
    </sheetView>
  </sheetViews>
  <sheetFormatPr defaultRowHeight="15" x14ac:dyDescent="0.25"/>
  <cols>
    <col min="1" max="1" width="3.85546875" customWidth="1"/>
    <col min="2" max="2" width="34.140625" bestFit="1" customWidth="1"/>
    <col min="3" max="3" width="0.5703125" customWidth="1"/>
    <col min="4" max="4" width="15" customWidth="1"/>
    <col min="5" max="6" width="13.5703125" customWidth="1"/>
    <col min="7" max="7" width="14" bestFit="1" customWidth="1"/>
  </cols>
  <sheetData>
    <row r="1" spans="1:8" ht="15.75" thickBot="1" x14ac:dyDescent="0.3">
      <c r="A1" s="190"/>
      <c r="B1" s="190"/>
      <c r="C1" s="190"/>
      <c r="D1" s="190"/>
      <c r="E1" s="190"/>
      <c r="F1" s="190"/>
      <c r="G1" s="190"/>
      <c r="H1" s="190"/>
    </row>
    <row r="2" spans="1:8" ht="15.75" thickBot="1" x14ac:dyDescent="0.3">
      <c r="A2" s="190"/>
      <c r="B2" s="210" t="s">
        <v>1429</v>
      </c>
      <c r="C2" s="212"/>
      <c r="D2" s="211" t="s">
        <v>1423</v>
      </c>
      <c r="E2" s="190"/>
      <c r="F2" s="190"/>
      <c r="G2" s="190"/>
      <c r="H2" s="190"/>
    </row>
    <row r="3" spans="1:8" ht="15.75" thickBot="1" x14ac:dyDescent="0.3">
      <c r="A3" s="190"/>
      <c r="B3" s="209" t="s">
        <v>1430</v>
      </c>
      <c r="C3" s="213"/>
      <c r="D3" s="190"/>
      <c r="E3" s="190"/>
      <c r="F3" s="190"/>
      <c r="G3" s="190"/>
      <c r="H3" s="190"/>
    </row>
    <row r="4" spans="1:8" ht="15.75" thickBot="1" x14ac:dyDescent="0.3">
      <c r="A4" s="190"/>
      <c r="B4" s="190"/>
      <c r="C4" s="190"/>
      <c r="D4" s="191" t="s">
        <v>1424</v>
      </c>
      <c r="E4" s="191" t="s">
        <v>1422</v>
      </c>
      <c r="F4" s="190"/>
      <c r="G4" s="191" t="s">
        <v>1426</v>
      </c>
      <c r="H4" s="190"/>
    </row>
    <row r="5" spans="1:8" x14ac:dyDescent="0.25">
      <c r="A5" s="190"/>
      <c r="B5" s="203" t="s">
        <v>1405</v>
      </c>
      <c r="C5" s="203"/>
      <c r="D5" s="193">
        <v>420000</v>
      </c>
      <c r="E5" s="218">
        <v>300000</v>
      </c>
      <c r="F5" s="190"/>
      <c r="G5" s="197">
        <v>404900</v>
      </c>
      <c r="H5" s="190"/>
    </row>
    <row r="6" spans="1:8" x14ac:dyDescent="0.25">
      <c r="A6" s="190"/>
      <c r="B6" s="203" t="s">
        <v>1425</v>
      </c>
      <c r="C6" s="203"/>
      <c r="D6" s="194">
        <v>451992</v>
      </c>
      <c r="E6" s="219">
        <v>297065</v>
      </c>
      <c r="F6" s="190"/>
      <c r="G6" s="198">
        <v>433158</v>
      </c>
      <c r="H6" s="190"/>
    </row>
    <row r="7" spans="1:8" x14ac:dyDescent="0.25">
      <c r="A7" s="190"/>
      <c r="B7" s="203" t="s">
        <v>1414</v>
      </c>
      <c r="C7" s="203"/>
      <c r="D7" s="195">
        <v>981</v>
      </c>
      <c r="E7" s="220">
        <v>130</v>
      </c>
      <c r="F7" s="190"/>
      <c r="G7" s="199">
        <f>E7+D7</f>
        <v>1111</v>
      </c>
      <c r="H7" s="190"/>
    </row>
    <row r="8" spans="1:8" ht="15.75" thickBot="1" x14ac:dyDescent="0.3">
      <c r="A8" s="190"/>
      <c r="B8" s="203" t="s">
        <v>1404</v>
      </c>
      <c r="C8" s="203"/>
      <c r="D8" s="196">
        <v>310000</v>
      </c>
      <c r="E8" s="221">
        <v>310000</v>
      </c>
      <c r="F8" s="190"/>
      <c r="G8" s="200">
        <f>AVERAGE(D8:E8)</f>
        <v>310000</v>
      </c>
      <c r="H8" s="190"/>
    </row>
    <row r="9" spans="1:8" ht="15.75" thickBot="1" x14ac:dyDescent="0.3">
      <c r="A9" s="190"/>
      <c r="B9" s="203"/>
      <c r="C9" s="203"/>
      <c r="D9" s="192"/>
      <c r="E9" s="192"/>
      <c r="F9" s="190"/>
      <c r="G9" s="192"/>
      <c r="H9" s="190"/>
    </row>
    <row r="10" spans="1:8" ht="15.75" thickBot="1" x14ac:dyDescent="0.3">
      <c r="A10" s="190"/>
      <c r="B10" s="203" t="s">
        <v>1409</v>
      </c>
      <c r="C10" s="203"/>
      <c r="D10" s="222">
        <f>D5-D8</f>
        <v>110000</v>
      </c>
      <c r="E10" s="223">
        <f>E5-E8</f>
        <v>-10000</v>
      </c>
      <c r="F10" s="190"/>
      <c r="G10" s="207">
        <f>G5-G8</f>
        <v>94900</v>
      </c>
      <c r="H10" s="190"/>
    </row>
    <row r="11" spans="1:8" ht="15.75" thickBot="1" x14ac:dyDescent="0.3">
      <c r="A11" s="190"/>
      <c r="B11" s="203"/>
      <c r="C11" s="203"/>
      <c r="D11" s="190"/>
      <c r="E11" s="190"/>
      <c r="F11" s="190"/>
      <c r="G11" s="190"/>
      <c r="H11" s="190"/>
    </row>
    <row r="12" spans="1:8" ht="15.75" thickBot="1" x14ac:dyDescent="0.3">
      <c r="A12" s="190"/>
      <c r="B12" s="203" t="s">
        <v>1410</v>
      </c>
      <c r="C12" s="203"/>
      <c r="D12" s="201">
        <f>D5/246</f>
        <v>1707.3170731707316</v>
      </c>
      <c r="E12" s="224">
        <f>E5/246</f>
        <v>1219.5121951219512</v>
      </c>
      <c r="F12" s="190"/>
      <c r="G12" s="202">
        <f>G5/246</f>
        <v>1645.9349593495936</v>
      </c>
      <c r="H12" s="190"/>
    </row>
    <row r="13" spans="1:8" ht="15.75" thickBot="1" x14ac:dyDescent="0.3">
      <c r="A13" s="190"/>
      <c r="B13" s="203"/>
      <c r="C13" s="203"/>
      <c r="D13" s="190"/>
      <c r="E13" s="190"/>
      <c r="F13" s="190"/>
      <c r="G13" s="190"/>
      <c r="H13" s="190"/>
    </row>
    <row r="14" spans="1:8" ht="15.75" thickBot="1" x14ac:dyDescent="0.3">
      <c r="A14" s="190"/>
      <c r="B14" s="203" t="s">
        <v>1408</v>
      </c>
      <c r="C14" s="203"/>
      <c r="D14" s="205">
        <f>D10/D12</f>
        <v>64.428571428571431</v>
      </c>
      <c r="E14" s="206">
        <f>E10/E12</f>
        <v>-8.1999999999999993</v>
      </c>
      <c r="F14" s="190"/>
      <c r="G14" s="217">
        <f>G10/G12</f>
        <v>57.657199308471228</v>
      </c>
      <c r="H14" s="190"/>
    </row>
    <row r="15" spans="1:8" ht="15.75" thickBot="1" x14ac:dyDescent="0.3">
      <c r="A15" s="190"/>
      <c r="B15" s="203"/>
      <c r="C15" s="203"/>
      <c r="D15" s="190"/>
      <c r="E15" s="190"/>
      <c r="F15" s="190"/>
      <c r="G15" s="190"/>
      <c r="H15" s="190"/>
    </row>
    <row r="16" spans="1:8" ht="15.75" thickBot="1" x14ac:dyDescent="0.3">
      <c r="A16" s="190"/>
      <c r="B16" s="216" t="s">
        <v>1416</v>
      </c>
      <c r="C16" s="203"/>
      <c r="D16" s="190"/>
      <c r="E16" s="214">
        <f>(((D14*D7)+(E14*E7))/(D7+E7))</f>
        <v>55.930178732158929</v>
      </c>
      <c r="F16" s="190"/>
      <c r="G16" s="190"/>
      <c r="H16" s="190"/>
    </row>
    <row r="17" spans="1:8" ht="15.75" thickBot="1" x14ac:dyDescent="0.3">
      <c r="A17" s="190"/>
      <c r="B17" s="203"/>
      <c r="C17" s="203"/>
      <c r="D17" s="190"/>
      <c r="E17" s="190"/>
      <c r="F17" s="190"/>
      <c r="G17" s="190"/>
      <c r="H17" s="190"/>
    </row>
    <row r="18" spans="1:8" ht="15.75" thickBot="1" x14ac:dyDescent="0.3">
      <c r="A18" s="190"/>
      <c r="B18" s="204" t="s">
        <v>1431</v>
      </c>
      <c r="C18" s="204"/>
      <c r="D18" s="225">
        <f>D14*0.12</f>
        <v>7.7314285714285713</v>
      </c>
      <c r="E18" s="226">
        <f>E14*0.12</f>
        <v>-0.98399999999999987</v>
      </c>
      <c r="F18" s="190"/>
      <c r="G18" s="208">
        <f>G14*0.12</f>
        <v>6.9188639170165471</v>
      </c>
      <c r="H18" s="190"/>
    </row>
    <row r="19" spans="1:8" ht="15.75" thickBot="1" x14ac:dyDescent="0.3">
      <c r="A19" s="190"/>
      <c r="B19" s="203"/>
      <c r="C19" s="203"/>
      <c r="D19" s="190"/>
      <c r="E19" s="190"/>
      <c r="F19" s="190"/>
      <c r="G19" s="190"/>
      <c r="H19" s="190"/>
    </row>
    <row r="20" spans="1:8" ht="15.75" thickBot="1" x14ac:dyDescent="0.3">
      <c r="A20" s="190"/>
      <c r="B20" s="216" t="s">
        <v>1416</v>
      </c>
      <c r="C20" s="203"/>
      <c r="D20" s="190"/>
      <c r="E20" s="215">
        <f>E16*0.12</f>
        <v>6.7116214478590708</v>
      </c>
      <c r="F20" s="190"/>
      <c r="G20" s="190"/>
      <c r="H20" s="190"/>
    </row>
    <row r="21" spans="1:8" x14ac:dyDescent="0.25">
      <c r="A21" s="190"/>
      <c r="B21" s="190"/>
      <c r="C21" s="190"/>
      <c r="D21" s="190"/>
      <c r="E21" s="190"/>
      <c r="F21" s="190"/>
      <c r="G21" s="190"/>
      <c r="H21" s="190"/>
    </row>
    <row r="22" spans="1:8" x14ac:dyDescent="0.25">
      <c r="F22" s="190"/>
    </row>
    <row r="23" spans="1:8" x14ac:dyDescent="0.25">
      <c r="F23" s="190"/>
    </row>
    <row r="24" spans="1:8" x14ac:dyDescent="0.25">
      <c r="F24" s="19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12" sqref="I12"/>
    </sheetView>
  </sheetViews>
  <sheetFormatPr defaultRowHeight="15" x14ac:dyDescent="0.25"/>
  <cols>
    <col min="1" max="1" width="3.140625" customWidth="1"/>
    <col min="2" max="2" width="34.140625" bestFit="1" customWidth="1"/>
    <col min="3" max="3" width="0.7109375" customWidth="1"/>
    <col min="4" max="4" width="15" customWidth="1"/>
    <col min="5" max="6" width="13.5703125" customWidth="1"/>
    <col min="7" max="7" width="14" bestFit="1" customWidth="1"/>
  </cols>
  <sheetData>
    <row r="1" spans="1:8" ht="15.75" thickBot="1" x14ac:dyDescent="0.3">
      <c r="A1" s="190"/>
      <c r="B1" s="190"/>
      <c r="C1" s="190"/>
      <c r="D1" s="190"/>
      <c r="E1" s="190"/>
      <c r="F1" s="190"/>
      <c r="G1" s="190"/>
      <c r="H1" s="190"/>
    </row>
    <row r="2" spans="1:8" ht="15.75" thickBot="1" x14ac:dyDescent="0.3">
      <c r="A2" s="190"/>
      <c r="B2" s="210" t="s">
        <v>1428</v>
      </c>
      <c r="C2" s="212"/>
      <c r="D2" s="211" t="s">
        <v>1423</v>
      </c>
      <c r="E2" s="190"/>
      <c r="F2" s="190"/>
      <c r="G2" s="190"/>
      <c r="H2" s="190"/>
    </row>
    <row r="3" spans="1:8" ht="15.75" thickBot="1" x14ac:dyDescent="0.3">
      <c r="A3" s="190"/>
      <c r="B3" s="209" t="s">
        <v>1427</v>
      </c>
      <c r="C3" s="213"/>
      <c r="D3" s="190"/>
      <c r="E3" s="190"/>
      <c r="F3" s="190"/>
      <c r="G3" s="190"/>
      <c r="H3" s="190"/>
    </row>
    <row r="4" spans="1:8" ht="15.75" thickBot="1" x14ac:dyDescent="0.3">
      <c r="A4" s="190"/>
      <c r="B4" s="190"/>
      <c r="C4" s="190"/>
      <c r="D4" s="191" t="s">
        <v>1424</v>
      </c>
      <c r="E4" s="191" t="s">
        <v>1422</v>
      </c>
      <c r="F4" s="190"/>
      <c r="G4" s="191" t="s">
        <v>1426</v>
      </c>
      <c r="H4" s="190"/>
    </row>
    <row r="5" spans="1:8" x14ac:dyDescent="0.25">
      <c r="A5" s="190"/>
      <c r="B5" s="203" t="s">
        <v>1405</v>
      </c>
      <c r="C5" s="203"/>
      <c r="D5" s="193">
        <v>405000</v>
      </c>
      <c r="E5" s="218">
        <v>295000</v>
      </c>
      <c r="F5" s="190"/>
      <c r="G5" s="197">
        <v>385950</v>
      </c>
      <c r="H5" s="190"/>
    </row>
    <row r="6" spans="1:8" x14ac:dyDescent="0.25">
      <c r="A6" s="190"/>
      <c r="B6" s="203" t="s">
        <v>1425</v>
      </c>
      <c r="C6" s="203"/>
      <c r="D6" s="194">
        <v>435403</v>
      </c>
      <c r="E6" s="219">
        <v>299204</v>
      </c>
      <c r="F6" s="190"/>
      <c r="G6" s="198">
        <v>417329</v>
      </c>
      <c r="H6" s="190"/>
    </row>
    <row r="7" spans="1:8" x14ac:dyDescent="0.25">
      <c r="A7" s="190"/>
      <c r="B7" s="203" t="s">
        <v>1414</v>
      </c>
      <c r="C7" s="203"/>
      <c r="D7" s="195">
        <v>1660</v>
      </c>
      <c r="E7" s="220">
        <v>254</v>
      </c>
      <c r="F7" s="190"/>
      <c r="G7" s="199">
        <f>E7+D7</f>
        <v>1914</v>
      </c>
      <c r="H7" s="190"/>
    </row>
    <row r="8" spans="1:8" ht="15.75" thickBot="1" x14ac:dyDescent="0.3">
      <c r="A8" s="190"/>
      <c r="B8" s="203" t="s">
        <v>1404</v>
      </c>
      <c r="C8" s="203"/>
      <c r="D8" s="196">
        <f>'YTD - new AHSP'!D8</f>
        <v>310000</v>
      </c>
      <c r="E8" s="221">
        <f>'YTD - new AHSP'!E8</f>
        <v>310000</v>
      </c>
      <c r="F8" s="190"/>
      <c r="G8" s="200">
        <f>AVERAGE(D8:E8)</f>
        <v>310000</v>
      </c>
      <c r="H8" s="190"/>
    </row>
    <row r="9" spans="1:8" ht="15.75" thickBot="1" x14ac:dyDescent="0.3">
      <c r="A9" s="190"/>
      <c r="B9" s="203"/>
      <c r="C9" s="203"/>
      <c r="D9" s="192"/>
      <c r="E9" s="192"/>
      <c r="F9" s="190"/>
      <c r="G9" s="192"/>
      <c r="H9" s="190"/>
    </row>
    <row r="10" spans="1:8" ht="15.75" thickBot="1" x14ac:dyDescent="0.3">
      <c r="A10" s="190"/>
      <c r="B10" s="203" t="s">
        <v>1409</v>
      </c>
      <c r="C10" s="203"/>
      <c r="D10" s="222">
        <f>D5-D8</f>
        <v>95000</v>
      </c>
      <c r="E10" s="223">
        <f>E5-E8</f>
        <v>-15000</v>
      </c>
      <c r="F10" s="190"/>
      <c r="G10" s="207">
        <f>G5-G8</f>
        <v>75950</v>
      </c>
      <c r="H10" s="190"/>
    </row>
    <row r="11" spans="1:8" ht="15.75" thickBot="1" x14ac:dyDescent="0.3">
      <c r="A11" s="190"/>
      <c r="B11" s="203"/>
      <c r="C11" s="203"/>
      <c r="D11" s="190"/>
      <c r="E11" s="190"/>
      <c r="F11" s="190"/>
      <c r="G11" s="190"/>
      <c r="H11" s="190"/>
    </row>
    <row r="12" spans="1:8" ht="15.75" thickBot="1" x14ac:dyDescent="0.3">
      <c r="A12" s="190"/>
      <c r="B12" s="203" t="s">
        <v>1410</v>
      </c>
      <c r="C12" s="203"/>
      <c r="D12" s="201">
        <v>2200</v>
      </c>
      <c r="E12" s="224">
        <v>1400</v>
      </c>
      <c r="F12" s="190"/>
      <c r="G12" s="202">
        <v>2000</v>
      </c>
      <c r="H12" s="190"/>
    </row>
    <row r="13" spans="1:8" ht="15.75" thickBot="1" x14ac:dyDescent="0.3">
      <c r="A13" s="190"/>
      <c r="B13" s="203"/>
      <c r="C13" s="203"/>
      <c r="D13" s="190"/>
      <c r="E13" s="190"/>
      <c r="F13" s="190"/>
      <c r="G13" s="190"/>
      <c r="H13" s="190"/>
    </row>
    <row r="14" spans="1:8" ht="15.75" thickBot="1" x14ac:dyDescent="0.3">
      <c r="A14" s="190"/>
      <c r="B14" s="203" t="s">
        <v>1408</v>
      </c>
      <c r="C14" s="203"/>
      <c r="D14" s="205">
        <f>D10/D12</f>
        <v>43.18181818181818</v>
      </c>
      <c r="E14" s="206">
        <f>E10/E12</f>
        <v>-10.714285714285714</v>
      </c>
      <c r="F14" s="190"/>
      <c r="G14" s="217">
        <f>G10/G12</f>
        <v>37.975000000000001</v>
      </c>
      <c r="H14" s="190"/>
    </row>
    <row r="15" spans="1:8" ht="15.75" thickBot="1" x14ac:dyDescent="0.3">
      <c r="A15" s="190"/>
      <c r="B15" s="203"/>
      <c r="C15" s="203"/>
      <c r="D15" s="190"/>
      <c r="E15" s="190"/>
      <c r="F15" s="190"/>
      <c r="G15" s="190"/>
      <c r="H15" s="190"/>
    </row>
    <row r="16" spans="1:8" ht="15.75" thickBot="1" x14ac:dyDescent="0.3">
      <c r="A16" s="190"/>
      <c r="B16" s="216" t="s">
        <v>1416</v>
      </c>
      <c r="C16" s="203"/>
      <c r="D16" s="190"/>
      <c r="E16" s="214">
        <f>(((D14*D7)+(E14*E7))/(D7+E7))</f>
        <v>36.029461656420906</v>
      </c>
      <c r="F16" s="190"/>
      <c r="G16" s="190"/>
      <c r="H16" s="190"/>
    </row>
    <row r="17" spans="1:8" ht="15.75" thickBot="1" x14ac:dyDescent="0.3">
      <c r="A17" s="190"/>
      <c r="B17" s="203"/>
      <c r="C17" s="203"/>
      <c r="D17" s="190"/>
      <c r="E17" s="190"/>
      <c r="F17" s="190"/>
      <c r="G17" s="190"/>
      <c r="H17" s="190"/>
    </row>
    <row r="18" spans="1:8" ht="15.75" thickBot="1" x14ac:dyDescent="0.3">
      <c r="A18" s="190"/>
      <c r="B18" s="204" t="s">
        <v>1431</v>
      </c>
      <c r="C18" s="204"/>
      <c r="D18" s="225">
        <f>D14*0.12</f>
        <v>5.1818181818181817</v>
      </c>
      <c r="E18" s="226">
        <f>E14*0.12</f>
        <v>-1.2857142857142856</v>
      </c>
      <c r="F18" s="190"/>
      <c r="G18" s="208">
        <f>G14*0.12</f>
        <v>4.5570000000000004</v>
      </c>
      <c r="H18" s="190"/>
    </row>
    <row r="19" spans="1:8" ht="15.75" thickBot="1" x14ac:dyDescent="0.3">
      <c r="A19" s="190"/>
      <c r="B19" s="203"/>
      <c r="C19" s="203"/>
      <c r="D19" s="190"/>
      <c r="E19" s="190"/>
      <c r="F19" s="190"/>
      <c r="G19" s="190"/>
      <c r="H19" s="190"/>
    </row>
    <row r="20" spans="1:8" ht="15.75" thickBot="1" x14ac:dyDescent="0.3">
      <c r="A20" s="190"/>
      <c r="B20" s="216" t="s">
        <v>1416</v>
      </c>
      <c r="C20" s="203"/>
      <c r="D20" s="190"/>
      <c r="E20" s="215">
        <f>E16*0.12</f>
        <v>4.3235353987705087</v>
      </c>
      <c r="F20" s="190"/>
      <c r="G20" s="190"/>
      <c r="H20" s="190"/>
    </row>
    <row r="21" spans="1:8" x14ac:dyDescent="0.25">
      <c r="A21" s="190"/>
      <c r="B21" s="190"/>
      <c r="C21" s="190"/>
      <c r="D21" s="190"/>
      <c r="E21" s="190"/>
      <c r="F21" s="190"/>
      <c r="G21" s="190"/>
      <c r="H21" s="190"/>
    </row>
    <row r="22" spans="1:8" x14ac:dyDescent="0.25">
      <c r="F22" s="190"/>
    </row>
    <row r="23" spans="1:8" x14ac:dyDescent="0.25">
      <c r="F23" s="190"/>
    </row>
    <row r="24" spans="1:8" x14ac:dyDescent="0.25">
      <c r="F24" s="1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M58"/>
  <sheetViews>
    <sheetView topLeftCell="A16" zoomScale="130" zoomScaleNormal="130" workbookViewId="0">
      <selection activeCell="B48" sqref="B48"/>
    </sheetView>
  </sheetViews>
  <sheetFormatPr defaultColWidth="9.140625" defaultRowHeight="15" x14ac:dyDescent="0.25"/>
  <cols>
    <col min="1" max="1" width="3.5703125" style="229" customWidth="1"/>
    <col min="2" max="2" width="35.85546875" style="229" customWidth="1"/>
    <col min="3" max="3" width="29.5703125" style="229" customWidth="1"/>
    <col min="4" max="5" width="12.7109375" style="229" customWidth="1"/>
    <col min="6" max="6" width="19.28515625" style="229" customWidth="1"/>
    <col min="7" max="7" width="11.85546875" style="229" customWidth="1"/>
    <col min="8" max="8" width="12.140625" style="229" customWidth="1"/>
    <col min="9" max="9" width="10.85546875" style="229" customWidth="1"/>
    <col min="10" max="10" width="14.140625" style="229" customWidth="1"/>
    <col min="11" max="16384" width="9.140625" style="229"/>
  </cols>
  <sheetData>
    <row r="1" spans="2:10" ht="15.75" x14ac:dyDescent="0.25">
      <c r="B1" s="341" t="s">
        <v>1485</v>
      </c>
    </row>
    <row r="2" spans="2:10" x14ac:dyDescent="0.25">
      <c r="B2" s="373" t="s">
        <v>1226</v>
      </c>
      <c r="C2" s="358"/>
      <c r="D2" s="358"/>
      <c r="E2" s="358"/>
      <c r="F2" s="358"/>
      <c r="G2" s="358"/>
      <c r="H2" s="358"/>
      <c r="I2" s="358"/>
      <c r="J2" s="359"/>
    </row>
    <row r="3" spans="2:10" x14ac:dyDescent="0.25">
      <c r="B3" s="360" t="s">
        <v>1213</v>
      </c>
      <c r="C3" s="233"/>
      <c r="D3" s="233"/>
      <c r="E3" s="233"/>
      <c r="F3" s="233"/>
      <c r="G3" s="233"/>
      <c r="H3" s="233"/>
      <c r="I3" s="233"/>
      <c r="J3" s="361"/>
    </row>
    <row r="4" spans="2:10" x14ac:dyDescent="0.25">
      <c r="B4" s="360">
        <v>1200</v>
      </c>
      <c r="C4" s="233" t="s">
        <v>1214</v>
      </c>
      <c r="D4" s="343" t="s">
        <v>1450</v>
      </c>
      <c r="E4" s="233"/>
      <c r="F4" s="233"/>
      <c r="G4" s="233"/>
      <c r="H4" s="233"/>
      <c r="I4" s="233"/>
      <c r="J4" s="361"/>
    </row>
    <row r="5" spans="2:10" x14ac:dyDescent="0.25">
      <c r="B5" s="360">
        <v>2800</v>
      </c>
      <c r="C5" s="233" t="s">
        <v>1215</v>
      </c>
      <c r="D5" s="343" t="s">
        <v>1451</v>
      </c>
      <c r="E5" s="233"/>
      <c r="F5" s="233"/>
      <c r="G5" s="233"/>
      <c r="H5" s="233"/>
      <c r="I5" s="233"/>
      <c r="J5" s="361"/>
    </row>
    <row r="6" spans="2:10" x14ac:dyDescent="0.25">
      <c r="B6" s="366">
        <v>0.5</v>
      </c>
      <c r="C6" s="233" t="s">
        <v>1216</v>
      </c>
      <c r="D6" s="343" t="s">
        <v>1473</v>
      </c>
      <c r="E6" s="233"/>
      <c r="F6" s="233"/>
      <c r="G6" s="233"/>
      <c r="H6" s="233"/>
      <c r="I6" s="233"/>
      <c r="J6" s="361"/>
    </row>
    <row r="7" spans="2:10" x14ac:dyDescent="0.25">
      <c r="B7" s="319">
        <v>113.85</v>
      </c>
      <c r="C7" s="233" t="s">
        <v>1219</v>
      </c>
      <c r="D7" s="343" t="s">
        <v>1452</v>
      </c>
      <c r="E7" s="233"/>
      <c r="F7" s="233"/>
      <c r="G7" s="233"/>
      <c r="H7" s="233"/>
      <c r="I7" s="233"/>
      <c r="J7" s="361"/>
    </row>
    <row r="8" spans="2:10" x14ac:dyDescent="0.25">
      <c r="B8" s="319">
        <v>11.47</v>
      </c>
      <c r="C8" s="233" t="s">
        <v>1449</v>
      </c>
      <c r="D8" s="343" t="s">
        <v>1453</v>
      </c>
      <c r="E8" s="233"/>
      <c r="F8" s="233"/>
      <c r="G8" s="233"/>
      <c r="H8" s="233"/>
      <c r="I8" s="233"/>
      <c r="J8" s="361"/>
    </row>
    <row r="9" spans="2:10" x14ac:dyDescent="0.25">
      <c r="B9" s="319"/>
      <c r="C9" s="233"/>
      <c r="D9" s="233"/>
      <c r="E9" s="233"/>
      <c r="F9" s="233"/>
      <c r="G9" s="233"/>
      <c r="H9" s="233"/>
      <c r="I9" s="233"/>
      <c r="J9" s="361"/>
    </row>
    <row r="10" spans="2:10" x14ac:dyDescent="0.25">
      <c r="B10" s="366"/>
      <c r="C10" s="233"/>
      <c r="D10" s="233"/>
      <c r="E10" s="233"/>
      <c r="F10" s="233"/>
      <c r="G10" s="233"/>
      <c r="H10" s="233"/>
      <c r="I10" s="233"/>
      <c r="J10" s="361"/>
    </row>
    <row r="11" spans="2:10" x14ac:dyDescent="0.25">
      <c r="B11" s="360" t="s">
        <v>1217</v>
      </c>
      <c r="C11" s="233"/>
      <c r="D11" s="233"/>
      <c r="E11" s="233"/>
      <c r="F11" s="233"/>
      <c r="G11" s="233"/>
      <c r="H11" s="233"/>
      <c r="I11" s="233"/>
      <c r="J11" s="361"/>
    </row>
    <row r="12" spans="2:10" x14ac:dyDescent="0.25">
      <c r="B12" s="360" t="s">
        <v>1218</v>
      </c>
      <c r="C12" s="233" t="s">
        <v>1447</v>
      </c>
      <c r="D12" s="281">
        <f>B4*B7</f>
        <v>136620</v>
      </c>
      <c r="E12" s="233"/>
      <c r="F12" s="233"/>
      <c r="G12" s="233"/>
      <c r="H12" s="233"/>
      <c r="I12" s="233"/>
      <c r="J12" s="361"/>
    </row>
    <row r="13" spans="2:10" x14ac:dyDescent="0.25">
      <c r="B13" s="360" t="s">
        <v>1454</v>
      </c>
      <c r="C13" s="233" t="s">
        <v>1448</v>
      </c>
      <c r="D13" s="281">
        <f>B5*B8</f>
        <v>32116</v>
      </c>
      <c r="E13" s="233"/>
      <c r="F13" s="233"/>
      <c r="G13" s="233"/>
      <c r="H13" s="233"/>
      <c r="I13" s="233"/>
      <c r="J13" s="361"/>
    </row>
    <row r="14" spans="2:10" x14ac:dyDescent="0.25">
      <c r="B14" s="368" t="s">
        <v>1238</v>
      </c>
      <c r="C14" s="344" t="s">
        <v>1240</v>
      </c>
      <c r="D14" s="345">
        <v>9233.61</v>
      </c>
      <c r="E14" s="434"/>
      <c r="F14" s="434"/>
      <c r="G14" s="436"/>
      <c r="H14" s="436"/>
      <c r="I14" s="233"/>
      <c r="J14" s="361"/>
    </row>
    <row r="15" spans="2:10" x14ac:dyDescent="0.25">
      <c r="B15" s="360"/>
      <c r="C15" s="233"/>
      <c r="D15" s="346">
        <f>SUM(D12:D14)</f>
        <v>177969.61</v>
      </c>
      <c r="E15" s="315" t="s">
        <v>1227</v>
      </c>
      <c r="F15" s="233"/>
      <c r="G15" s="233"/>
      <c r="H15" s="233"/>
      <c r="I15" s="233"/>
      <c r="J15" s="361"/>
    </row>
    <row r="16" spans="2:10" x14ac:dyDescent="0.25">
      <c r="B16" s="362"/>
      <c r="C16" s="363"/>
      <c r="D16" s="363"/>
      <c r="E16" s="320">
        <f>D15/B4</f>
        <v>148.30800833333333</v>
      </c>
      <c r="F16" s="320">
        <f>E16*0.12</f>
        <v>17.796961</v>
      </c>
      <c r="G16" s="363"/>
      <c r="H16" s="363"/>
      <c r="I16" s="363"/>
      <c r="J16" s="364"/>
    </row>
    <row r="18" spans="2:10" x14ac:dyDescent="0.25">
      <c r="B18" s="371" t="s">
        <v>1456</v>
      </c>
      <c r="C18" s="358"/>
      <c r="D18" s="358"/>
      <c r="E18" s="358"/>
      <c r="F18" s="358"/>
      <c r="G18" s="358"/>
      <c r="H18" s="358"/>
      <c r="I18" s="358"/>
      <c r="J18" s="359"/>
    </row>
    <row r="19" spans="2:10" x14ac:dyDescent="0.25">
      <c r="B19" s="360" t="s">
        <v>1213</v>
      </c>
      <c r="C19" s="233"/>
      <c r="D19" s="233"/>
      <c r="E19" s="233"/>
      <c r="F19" s="233"/>
      <c r="G19" s="233"/>
      <c r="H19" s="233"/>
      <c r="I19" s="233"/>
      <c r="J19" s="361"/>
    </row>
    <row r="20" spans="2:10" x14ac:dyDescent="0.25">
      <c r="B20" s="360">
        <v>1000</v>
      </c>
      <c r="C20" s="233" t="s">
        <v>1214</v>
      </c>
      <c r="D20" s="233"/>
      <c r="E20" s="233"/>
      <c r="F20" s="233"/>
      <c r="G20" s="233"/>
      <c r="H20" s="233"/>
      <c r="I20" s="233"/>
      <c r="J20" s="361"/>
    </row>
    <row r="21" spans="2:10" x14ac:dyDescent="0.25">
      <c r="B21" s="360">
        <v>1</v>
      </c>
      <c r="C21" s="233" t="s">
        <v>1463</v>
      </c>
      <c r="D21" s="233"/>
      <c r="E21" s="343" t="s">
        <v>1471</v>
      </c>
      <c r="F21" s="233"/>
      <c r="G21" s="233"/>
      <c r="H21" s="233"/>
      <c r="I21" s="350"/>
      <c r="J21" s="361"/>
    </row>
    <row r="22" spans="2:10" x14ac:dyDescent="0.25">
      <c r="B22" s="366">
        <v>0.5</v>
      </c>
      <c r="C22" s="233" t="s">
        <v>1216</v>
      </c>
      <c r="D22" s="233"/>
      <c r="E22" s="343" t="s">
        <v>1472</v>
      </c>
      <c r="F22" s="233"/>
      <c r="G22" s="233"/>
      <c r="H22" s="233"/>
      <c r="I22" s="233"/>
      <c r="J22" s="361"/>
    </row>
    <row r="23" spans="2:10" x14ac:dyDescent="0.25">
      <c r="B23" s="319">
        <v>121.84</v>
      </c>
      <c r="C23" s="233" t="s">
        <v>1219</v>
      </c>
      <c r="D23" s="343" t="s">
        <v>1455</v>
      </c>
      <c r="E23" s="233"/>
      <c r="F23" s="233"/>
      <c r="G23" s="233"/>
      <c r="H23" s="233"/>
      <c r="I23" s="233"/>
      <c r="J23" s="361"/>
    </row>
    <row r="24" spans="2:10" x14ac:dyDescent="0.25">
      <c r="B24" s="319">
        <v>102378</v>
      </c>
      <c r="C24" s="233" t="s">
        <v>1461</v>
      </c>
      <c r="D24" s="343" t="s">
        <v>1458</v>
      </c>
      <c r="E24" s="233"/>
      <c r="F24" s="233"/>
      <c r="G24" s="233"/>
      <c r="H24" s="233"/>
      <c r="I24" s="233"/>
      <c r="J24" s="361"/>
    </row>
    <row r="25" spans="2:10" x14ac:dyDescent="0.25">
      <c r="B25" s="360"/>
      <c r="C25" s="233"/>
      <c r="D25" s="233"/>
      <c r="E25" s="233"/>
      <c r="F25" s="233"/>
      <c r="G25" s="233"/>
      <c r="H25" s="233"/>
      <c r="I25" s="233"/>
      <c r="J25" s="361"/>
    </row>
    <row r="26" spans="2:10" x14ac:dyDescent="0.25">
      <c r="B26" s="360" t="s">
        <v>1217</v>
      </c>
      <c r="C26" s="233"/>
      <c r="D26" s="233"/>
      <c r="E26" s="233"/>
      <c r="F26" s="233"/>
      <c r="G26" s="233"/>
      <c r="H26" s="233"/>
      <c r="I26" s="233"/>
      <c r="J26" s="361"/>
    </row>
    <row r="27" spans="2:10" x14ac:dyDescent="0.25">
      <c r="B27" s="360" t="s">
        <v>1225</v>
      </c>
      <c r="C27" s="233" t="s">
        <v>1234</v>
      </c>
      <c r="D27" s="282">
        <f>B20*B23</f>
        <v>121840</v>
      </c>
      <c r="E27" s="233"/>
      <c r="F27" s="233"/>
      <c r="G27" s="233"/>
      <c r="H27" s="233"/>
      <c r="I27" s="233"/>
      <c r="J27" s="361"/>
    </row>
    <row r="28" spans="2:10" x14ac:dyDescent="0.25">
      <c r="B28" s="360" t="s">
        <v>1454</v>
      </c>
      <c r="C28" s="351" t="s">
        <v>1464</v>
      </c>
      <c r="D28" s="351">
        <f>B24/18</f>
        <v>5687.666666666667</v>
      </c>
      <c r="E28" s="233"/>
      <c r="F28" s="233"/>
      <c r="G28" s="233"/>
      <c r="H28" s="233"/>
      <c r="I28" s="233"/>
      <c r="J28" s="361"/>
    </row>
    <row r="29" spans="2:10" s="353" customFormat="1" x14ac:dyDescent="0.25">
      <c r="B29" s="368" t="s">
        <v>1221</v>
      </c>
      <c r="C29" s="344" t="s">
        <v>1222</v>
      </c>
      <c r="D29" s="352">
        <v>7164.1</v>
      </c>
      <c r="E29" s="434"/>
      <c r="F29" s="435"/>
      <c r="G29" s="344"/>
      <c r="H29" s="344"/>
      <c r="I29" s="344"/>
      <c r="J29" s="369"/>
    </row>
    <row r="30" spans="2:10" x14ac:dyDescent="0.25">
      <c r="B30" s="360"/>
      <c r="C30" s="233"/>
      <c r="D30" s="354">
        <f>D27+D28+D29</f>
        <v>134691.76666666666</v>
      </c>
      <c r="E30" s="315" t="s">
        <v>1233</v>
      </c>
      <c r="F30" s="233"/>
      <c r="G30" s="350"/>
      <c r="H30" s="233"/>
      <c r="I30" s="233"/>
      <c r="J30" s="361"/>
    </row>
    <row r="31" spans="2:10" x14ac:dyDescent="0.25">
      <c r="B31" s="362"/>
      <c r="C31" s="363"/>
      <c r="D31" s="363"/>
      <c r="E31" s="320">
        <f>D30/B20</f>
        <v>134.69176666666667</v>
      </c>
      <c r="F31" s="320">
        <f>E31*0.12</f>
        <v>16.163011999999998</v>
      </c>
      <c r="G31" s="363"/>
      <c r="H31" s="363"/>
      <c r="I31" s="363"/>
      <c r="J31" s="364"/>
    </row>
    <row r="33" spans="2:13" x14ac:dyDescent="0.25">
      <c r="B33" s="365" t="s">
        <v>1228</v>
      </c>
      <c r="C33" s="358"/>
      <c r="D33" s="358"/>
      <c r="E33" s="358"/>
      <c r="F33" s="358"/>
      <c r="G33" s="358"/>
      <c r="H33" s="358"/>
      <c r="I33" s="358"/>
      <c r="J33" s="359"/>
    </row>
    <row r="34" spans="2:13" x14ac:dyDescent="0.25">
      <c r="B34" s="360" t="s">
        <v>1213</v>
      </c>
      <c r="C34" s="233"/>
      <c r="D34" s="233"/>
      <c r="E34" s="233"/>
      <c r="F34" s="233"/>
      <c r="G34" s="233"/>
      <c r="H34" s="233"/>
      <c r="I34" s="233"/>
      <c r="J34" s="361"/>
    </row>
    <row r="35" spans="2:13" x14ac:dyDescent="0.25">
      <c r="B35" s="360">
        <v>800</v>
      </c>
      <c r="C35" s="233" t="s">
        <v>1229</v>
      </c>
      <c r="D35" s="343" t="s">
        <v>1239</v>
      </c>
      <c r="E35" s="233"/>
      <c r="F35" s="233"/>
      <c r="G35" s="233"/>
      <c r="H35" s="233"/>
      <c r="I35" s="233"/>
      <c r="J35" s="361"/>
    </row>
    <row r="36" spans="2:13" x14ac:dyDescent="0.25">
      <c r="B36" s="360">
        <v>1</v>
      </c>
      <c r="C36" s="233" t="s">
        <v>1465</v>
      </c>
      <c r="D36" s="343" t="s">
        <v>1474</v>
      </c>
      <c r="E36" s="233"/>
      <c r="F36" s="233"/>
      <c r="G36" s="233"/>
      <c r="H36" s="233"/>
      <c r="I36" s="315"/>
      <c r="J36" s="361"/>
    </row>
    <row r="37" spans="2:13" x14ac:dyDescent="0.25">
      <c r="B37" s="366">
        <v>0.2</v>
      </c>
      <c r="C37" s="233" t="s">
        <v>1230</v>
      </c>
      <c r="D37" s="343" t="s">
        <v>1475</v>
      </c>
      <c r="E37" s="233"/>
      <c r="F37" s="233"/>
      <c r="G37" s="233"/>
      <c r="H37" s="233"/>
      <c r="I37" s="233"/>
      <c r="J37" s="361"/>
    </row>
    <row r="38" spans="2:13" x14ac:dyDescent="0.25">
      <c r="B38" s="367">
        <v>108.71</v>
      </c>
      <c r="C38" s="233" t="s">
        <v>1219</v>
      </c>
      <c r="D38" s="343" t="s">
        <v>1467</v>
      </c>
      <c r="E38" s="233"/>
      <c r="F38" s="233"/>
      <c r="G38" s="233"/>
      <c r="H38" s="233"/>
      <c r="I38" s="233"/>
      <c r="J38" s="361"/>
    </row>
    <row r="39" spans="2:13" x14ac:dyDescent="0.25">
      <c r="B39" s="367">
        <v>666468</v>
      </c>
      <c r="C39" s="233" t="s">
        <v>1457</v>
      </c>
      <c r="D39" s="343" t="s">
        <v>1460</v>
      </c>
      <c r="E39" s="343"/>
      <c r="F39" s="343"/>
      <c r="G39" s="343"/>
      <c r="H39" s="233"/>
      <c r="I39" s="233"/>
      <c r="J39" s="361"/>
    </row>
    <row r="40" spans="2:13" x14ac:dyDescent="0.25">
      <c r="B40" s="360" t="s">
        <v>1217</v>
      </c>
      <c r="C40" s="233"/>
      <c r="D40" s="233"/>
      <c r="E40" s="233"/>
      <c r="F40" s="233"/>
      <c r="G40" s="233"/>
      <c r="H40" s="233"/>
      <c r="I40" s="233"/>
      <c r="J40" s="361"/>
    </row>
    <row r="41" spans="2:13" x14ac:dyDescent="0.25">
      <c r="B41" s="360" t="s">
        <v>1225</v>
      </c>
      <c r="C41" s="233" t="s">
        <v>1235</v>
      </c>
      <c r="D41" s="282">
        <f>B35*B38</f>
        <v>86968</v>
      </c>
      <c r="E41" s="233"/>
      <c r="F41" s="233"/>
      <c r="G41" s="233"/>
      <c r="H41" s="233"/>
      <c r="I41" s="233"/>
      <c r="J41" s="361"/>
    </row>
    <row r="42" spans="2:13" x14ac:dyDescent="0.25">
      <c r="B42" s="360" t="s">
        <v>1231</v>
      </c>
      <c r="C42" s="233" t="s">
        <v>1466</v>
      </c>
      <c r="D42" s="282">
        <f>B39/35</f>
        <v>19041.942857142858</v>
      </c>
      <c r="E42" s="233"/>
      <c r="F42" s="317"/>
      <c r="G42" s="233"/>
      <c r="H42" s="233"/>
      <c r="I42" s="233"/>
      <c r="J42" s="361"/>
    </row>
    <row r="43" spans="2:13" s="353" customFormat="1" x14ac:dyDescent="0.25">
      <c r="B43" s="368" t="s">
        <v>1221</v>
      </c>
      <c r="C43" s="344" t="s">
        <v>1232</v>
      </c>
      <c r="D43" s="352">
        <v>4690.4399999999996</v>
      </c>
      <c r="E43" s="434"/>
      <c r="F43" s="435"/>
      <c r="G43" s="344"/>
      <c r="H43" s="344"/>
      <c r="I43" s="344"/>
      <c r="J43" s="369"/>
    </row>
    <row r="44" spans="2:13" x14ac:dyDescent="0.25">
      <c r="B44" s="360"/>
      <c r="C44" s="233"/>
      <c r="D44" s="354">
        <f>SUM(D41:D43)</f>
        <v>110700.38285714286</v>
      </c>
      <c r="E44" s="315" t="s">
        <v>1233</v>
      </c>
      <c r="F44" s="282"/>
      <c r="G44" s="315"/>
      <c r="H44" s="233"/>
      <c r="I44" s="233"/>
      <c r="J44" s="361"/>
    </row>
    <row r="45" spans="2:13" x14ac:dyDescent="0.25">
      <c r="B45" s="360"/>
      <c r="C45" s="233"/>
      <c r="D45" s="233"/>
      <c r="E45" s="282">
        <f>D44/800</f>
        <v>138.37547857142857</v>
      </c>
      <c r="F45" s="282">
        <f>E45*12%</f>
        <v>16.605057428571428</v>
      </c>
      <c r="G45" s="233"/>
      <c r="H45" s="233"/>
      <c r="I45" s="233"/>
      <c r="J45" s="361"/>
    </row>
    <row r="46" spans="2:13" x14ac:dyDescent="0.25">
      <c r="B46" s="360"/>
      <c r="C46" s="233"/>
      <c r="D46" s="233"/>
      <c r="E46" s="233"/>
      <c r="F46" s="233"/>
      <c r="G46" s="233"/>
      <c r="H46" s="233"/>
      <c r="I46" s="233"/>
      <c r="J46" s="361"/>
      <c r="K46" s="281">
        <v>269000</v>
      </c>
      <c r="L46" s="233" t="s">
        <v>1241</v>
      </c>
      <c r="M46" s="233"/>
    </row>
    <row r="47" spans="2:13" x14ac:dyDescent="0.25">
      <c r="B47" s="362"/>
      <c r="C47" s="363"/>
      <c r="D47" s="363"/>
      <c r="E47" s="370"/>
      <c r="F47" s="363"/>
      <c r="G47" s="363"/>
      <c r="H47" s="363"/>
      <c r="I47" s="363"/>
      <c r="J47" s="364"/>
      <c r="K47" s="281">
        <f>K46/B35</f>
        <v>336.25</v>
      </c>
      <c r="L47" s="233" t="s">
        <v>1242</v>
      </c>
      <c r="M47" s="282"/>
    </row>
    <row r="48" spans="2:13" ht="15.75" thickBot="1" x14ac:dyDescent="0.3">
      <c r="B48" s="347"/>
      <c r="C48" s="348"/>
      <c r="D48" s="348"/>
      <c r="E48" s="348"/>
      <c r="F48" s="348"/>
      <c r="G48" s="348"/>
      <c r="H48" s="348"/>
      <c r="I48" s="348"/>
      <c r="J48" s="349"/>
    </row>
    <row r="49" spans="2:10" x14ac:dyDescent="0.25">
      <c r="B49" s="342"/>
      <c r="C49" s="342"/>
      <c r="D49" s="342"/>
      <c r="E49" s="342"/>
      <c r="F49" s="342"/>
      <c r="G49" s="342"/>
      <c r="H49" s="342"/>
      <c r="I49" s="342"/>
      <c r="J49" s="342"/>
    </row>
    <row r="50" spans="2:10" x14ac:dyDescent="0.25">
      <c r="B50" s="357" t="s">
        <v>1484</v>
      </c>
      <c r="C50" s="358"/>
      <c r="D50" s="358"/>
      <c r="E50" s="358"/>
      <c r="F50" s="358"/>
      <c r="G50" s="358"/>
      <c r="H50" s="358"/>
      <c r="I50" s="358"/>
      <c r="J50" s="359"/>
    </row>
    <row r="51" spans="2:10" x14ac:dyDescent="0.25">
      <c r="B51" s="360"/>
      <c r="C51" s="233" t="s">
        <v>1477</v>
      </c>
      <c r="D51" s="282">
        <f>D15+D30+D44</f>
        <v>423361.75952380954</v>
      </c>
      <c r="E51" s="233"/>
      <c r="F51" s="233"/>
      <c r="G51" s="233"/>
      <c r="H51" s="233"/>
      <c r="I51" s="233"/>
      <c r="J51" s="361"/>
    </row>
    <row r="52" spans="2:10" x14ac:dyDescent="0.25">
      <c r="B52" s="360"/>
      <c r="C52" s="233" t="s">
        <v>1478</v>
      </c>
      <c r="D52" s="282">
        <f>D51/3</f>
        <v>141120.5865079365</v>
      </c>
      <c r="E52" s="282"/>
      <c r="F52" s="233"/>
      <c r="G52" s="282"/>
      <c r="H52" s="233"/>
      <c r="I52" s="233"/>
      <c r="J52" s="361"/>
    </row>
    <row r="53" spans="2:10" x14ac:dyDescent="0.25">
      <c r="B53" s="360"/>
      <c r="C53" s="233" t="s">
        <v>1479</v>
      </c>
      <c r="D53" s="233">
        <f>(B4+B20+B35)/3</f>
        <v>1000</v>
      </c>
      <c r="E53" s="233" t="s">
        <v>1480</v>
      </c>
      <c r="F53" s="233"/>
      <c r="G53" s="233"/>
      <c r="H53" s="233"/>
      <c r="I53" s="233"/>
      <c r="J53" s="361"/>
    </row>
    <row r="54" spans="2:10" x14ac:dyDescent="0.25">
      <c r="B54" s="360"/>
      <c r="C54" s="233" t="s">
        <v>1481</v>
      </c>
      <c r="D54" s="282">
        <f>D52/D53</f>
        <v>141.12058650793651</v>
      </c>
      <c r="E54" s="233" t="s">
        <v>1440</v>
      </c>
      <c r="F54" s="233"/>
      <c r="G54" s="233"/>
      <c r="H54" s="233"/>
      <c r="I54" s="233"/>
      <c r="J54" s="361"/>
    </row>
    <row r="55" spans="2:10" x14ac:dyDescent="0.25">
      <c r="B55" s="360"/>
      <c r="C55" s="356" t="s">
        <v>1482</v>
      </c>
      <c r="D55" s="282">
        <f>D54*12%</f>
        <v>16.93447038095238</v>
      </c>
      <c r="E55" s="355"/>
      <c r="F55" s="233"/>
      <c r="G55" s="233"/>
      <c r="H55" s="233"/>
      <c r="I55" s="233"/>
      <c r="J55" s="361"/>
    </row>
    <row r="56" spans="2:10" x14ac:dyDescent="0.25">
      <c r="B56" s="360"/>
      <c r="C56" s="233"/>
      <c r="D56" s="233"/>
      <c r="E56" s="233"/>
      <c r="F56" s="233"/>
      <c r="G56" s="233"/>
      <c r="H56" s="233"/>
      <c r="I56" s="233"/>
      <c r="J56" s="361"/>
    </row>
    <row r="57" spans="2:10" x14ac:dyDescent="0.25">
      <c r="B57" s="360"/>
      <c r="C57" s="233" t="s">
        <v>1483</v>
      </c>
      <c r="D57" s="282">
        <f>(F45+F31+F16)/3</f>
        <v>16.855010142857139</v>
      </c>
      <c r="E57" s="233"/>
      <c r="F57" s="233"/>
      <c r="G57" s="233"/>
      <c r="H57" s="233"/>
      <c r="I57" s="233"/>
      <c r="J57" s="361"/>
    </row>
    <row r="58" spans="2:10" x14ac:dyDescent="0.25">
      <c r="B58" s="362"/>
      <c r="C58" s="363"/>
      <c r="D58" s="363"/>
      <c r="E58" s="363"/>
      <c r="F58" s="363"/>
      <c r="G58" s="363"/>
      <c r="H58" s="363"/>
      <c r="I58" s="363"/>
      <c r="J58" s="364"/>
    </row>
  </sheetData>
  <mergeCells count="3">
    <mergeCell ref="E29:F29"/>
    <mergeCell ref="E43:F43"/>
    <mergeCell ref="E14:H14"/>
  </mergeCells>
  <pageMargins left="0.7" right="0.7" top="0.75" bottom="0.75" header="0.3" footer="0.3"/>
  <pageSetup scale="58" orientation="landscape" r:id="rId1"/>
  <headerFooter>
    <oddFooter>&amp;L&amp;9&amp;Z&amp;F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12" sqref="I12"/>
    </sheetView>
  </sheetViews>
  <sheetFormatPr defaultRowHeight="15" x14ac:dyDescent="0.25"/>
  <cols>
    <col min="1" max="1" width="2.85546875" customWidth="1"/>
    <col min="2" max="2" width="34.140625" bestFit="1" customWidth="1"/>
    <col min="3" max="3" width="0.7109375" customWidth="1"/>
    <col min="4" max="4" width="15" customWidth="1"/>
    <col min="5" max="6" width="13.5703125" customWidth="1"/>
    <col min="7" max="7" width="14" bestFit="1" customWidth="1"/>
  </cols>
  <sheetData>
    <row r="1" spans="1:8" ht="15.75" thickBot="1" x14ac:dyDescent="0.3">
      <c r="A1" s="190"/>
      <c r="B1" s="190"/>
      <c r="C1" s="190"/>
      <c r="D1" s="190"/>
      <c r="E1" s="190"/>
      <c r="F1" s="190"/>
      <c r="G1" s="190"/>
      <c r="H1" s="190"/>
    </row>
    <row r="2" spans="1:8" ht="15.75" thickBot="1" x14ac:dyDescent="0.3">
      <c r="A2" s="190"/>
      <c r="B2" s="210" t="s">
        <v>1420</v>
      </c>
      <c r="C2" s="212"/>
      <c r="D2" s="211" t="s">
        <v>1423</v>
      </c>
      <c r="E2" s="190"/>
      <c r="F2" s="190"/>
      <c r="G2" s="190"/>
      <c r="H2" s="190"/>
    </row>
    <row r="3" spans="1:8" ht="15.75" thickBot="1" x14ac:dyDescent="0.3">
      <c r="A3" s="190"/>
      <c r="B3" s="209" t="s">
        <v>1421</v>
      </c>
      <c r="C3" s="213"/>
      <c r="D3" s="190"/>
      <c r="E3" s="190"/>
      <c r="F3" s="190"/>
      <c r="G3" s="190"/>
      <c r="H3" s="190"/>
    </row>
    <row r="4" spans="1:8" ht="15.75" thickBot="1" x14ac:dyDescent="0.3">
      <c r="A4" s="190"/>
      <c r="B4" s="190"/>
      <c r="C4" s="190"/>
      <c r="D4" s="191" t="s">
        <v>1424</v>
      </c>
      <c r="E4" s="191" t="s">
        <v>1422</v>
      </c>
      <c r="F4" s="190"/>
      <c r="G4" s="191" t="s">
        <v>1426</v>
      </c>
      <c r="H4" s="190"/>
    </row>
    <row r="5" spans="1:8" x14ac:dyDescent="0.25">
      <c r="A5" s="190"/>
      <c r="B5" s="203" t="s">
        <v>1405</v>
      </c>
      <c r="C5" s="203"/>
      <c r="D5" s="193">
        <v>392600</v>
      </c>
      <c r="E5" s="218">
        <v>290200</v>
      </c>
      <c r="F5" s="190"/>
      <c r="G5" s="197">
        <v>376000</v>
      </c>
      <c r="H5" s="190"/>
    </row>
    <row r="6" spans="1:8" x14ac:dyDescent="0.25">
      <c r="A6" s="190"/>
      <c r="B6" s="203" t="s">
        <v>1425</v>
      </c>
      <c r="C6" s="203"/>
      <c r="D6" s="194">
        <v>428858</v>
      </c>
      <c r="E6" s="219">
        <v>292424</v>
      </c>
      <c r="F6" s="190"/>
      <c r="G6" s="198">
        <v>410563</v>
      </c>
      <c r="H6" s="190"/>
    </row>
    <row r="7" spans="1:8" x14ac:dyDescent="0.25">
      <c r="A7" s="190"/>
      <c r="B7" s="203" t="s">
        <v>1414</v>
      </c>
      <c r="C7" s="203"/>
      <c r="D7" s="195">
        <v>2654</v>
      </c>
      <c r="E7" s="220">
        <v>411</v>
      </c>
      <c r="F7" s="190"/>
      <c r="G7" s="199">
        <f>E7+D7</f>
        <v>3065</v>
      </c>
      <c r="H7" s="190"/>
    </row>
    <row r="8" spans="1:8" ht="15.75" thickBot="1" x14ac:dyDescent="0.3">
      <c r="A8" s="190"/>
      <c r="B8" s="203" t="s">
        <v>1404</v>
      </c>
      <c r="C8" s="203"/>
      <c r="D8" s="196">
        <f>'YTD - new AHSP'!D8</f>
        <v>310000</v>
      </c>
      <c r="E8" s="221">
        <f>'YTD - new AHSP'!E8</f>
        <v>310000</v>
      </c>
      <c r="F8" s="190"/>
      <c r="G8" s="200">
        <f>AVERAGE(D8:E8)</f>
        <v>310000</v>
      </c>
      <c r="H8" s="190"/>
    </row>
    <row r="9" spans="1:8" ht="15.75" thickBot="1" x14ac:dyDescent="0.3">
      <c r="A9" s="190"/>
      <c r="B9" s="203"/>
      <c r="C9" s="203"/>
      <c r="D9" s="192"/>
      <c r="E9" s="192"/>
      <c r="F9" s="190"/>
      <c r="G9" s="192"/>
      <c r="H9" s="190"/>
    </row>
    <row r="10" spans="1:8" ht="15.75" thickBot="1" x14ac:dyDescent="0.3">
      <c r="A10" s="190"/>
      <c r="B10" s="203" t="s">
        <v>1409</v>
      </c>
      <c r="C10" s="203"/>
      <c r="D10" s="222">
        <f>D5-D8</f>
        <v>82600</v>
      </c>
      <c r="E10" s="223">
        <f>E5-E8</f>
        <v>-19800</v>
      </c>
      <c r="F10" s="190"/>
      <c r="G10" s="207">
        <f>G5-G8</f>
        <v>66000</v>
      </c>
      <c r="H10" s="190"/>
    </row>
    <row r="11" spans="1:8" ht="15.75" thickBot="1" x14ac:dyDescent="0.3">
      <c r="A11" s="190"/>
      <c r="B11" s="203"/>
      <c r="C11" s="203"/>
      <c r="D11" s="190"/>
      <c r="E11" s="190"/>
      <c r="F11" s="190"/>
      <c r="G11" s="190"/>
      <c r="H11" s="190"/>
    </row>
    <row r="12" spans="1:8" ht="15.75" thickBot="1" x14ac:dyDescent="0.3">
      <c r="A12" s="190"/>
      <c r="B12" s="203" t="s">
        <v>1410</v>
      </c>
      <c r="C12" s="203"/>
      <c r="D12" s="201">
        <v>2200</v>
      </c>
      <c r="E12" s="224">
        <v>1400</v>
      </c>
      <c r="F12" s="190"/>
      <c r="G12" s="202">
        <v>2000</v>
      </c>
      <c r="H12" s="190"/>
    </row>
    <row r="13" spans="1:8" ht="15.75" thickBot="1" x14ac:dyDescent="0.3">
      <c r="A13" s="190"/>
      <c r="B13" s="203"/>
      <c r="C13" s="203"/>
      <c r="D13" s="190"/>
      <c r="E13" s="190"/>
      <c r="F13" s="190"/>
      <c r="G13" s="190"/>
      <c r="H13" s="190"/>
    </row>
    <row r="14" spans="1:8" ht="15.75" thickBot="1" x14ac:dyDescent="0.3">
      <c r="A14" s="190"/>
      <c r="B14" s="203" t="s">
        <v>1408</v>
      </c>
      <c r="C14" s="203"/>
      <c r="D14" s="205">
        <f>D10/D12</f>
        <v>37.545454545454547</v>
      </c>
      <c r="E14" s="206">
        <f>E10/E12</f>
        <v>-14.142857142857142</v>
      </c>
      <c r="F14" s="190"/>
      <c r="G14" s="217">
        <f>G10/G12</f>
        <v>33</v>
      </c>
      <c r="H14" s="190"/>
    </row>
    <row r="15" spans="1:8" ht="15.75" thickBot="1" x14ac:dyDescent="0.3">
      <c r="A15" s="190"/>
      <c r="B15" s="203"/>
      <c r="C15" s="203"/>
      <c r="D15" s="190"/>
      <c r="E15" s="190"/>
      <c r="F15" s="190"/>
      <c r="G15" s="190"/>
      <c r="H15" s="190"/>
    </row>
    <row r="16" spans="1:8" ht="15.75" thickBot="1" x14ac:dyDescent="0.3">
      <c r="A16" s="190"/>
      <c r="B16" s="216" t="s">
        <v>1416</v>
      </c>
      <c r="C16" s="203"/>
      <c r="D16" s="190"/>
      <c r="E16" s="214">
        <f>(((D14*D7)+(E14*E7))/(D7+E7))</f>
        <v>30.614330204868541</v>
      </c>
      <c r="F16" s="190"/>
      <c r="G16" s="190"/>
      <c r="H16" s="190"/>
    </row>
    <row r="17" spans="1:8" ht="15.75" thickBot="1" x14ac:dyDescent="0.3">
      <c r="A17" s="190"/>
      <c r="B17" s="203"/>
      <c r="C17" s="203"/>
      <c r="D17" s="190"/>
      <c r="E17" s="190"/>
      <c r="F17" s="190"/>
      <c r="G17" s="190"/>
      <c r="H17" s="190"/>
    </row>
    <row r="18" spans="1:8" ht="15.75" thickBot="1" x14ac:dyDescent="0.3">
      <c r="A18" s="190"/>
      <c r="B18" s="204" t="s">
        <v>1431</v>
      </c>
      <c r="C18" s="204"/>
      <c r="D18" s="225">
        <f>D14*0.12</f>
        <v>4.5054545454545458</v>
      </c>
      <c r="E18" s="226">
        <f>E14*0.12</f>
        <v>-1.6971428571428571</v>
      </c>
      <c r="F18" s="190"/>
      <c r="G18" s="208">
        <f>G14*0.12</f>
        <v>3.96</v>
      </c>
      <c r="H18" s="190"/>
    </row>
    <row r="19" spans="1:8" ht="15.75" thickBot="1" x14ac:dyDescent="0.3">
      <c r="A19" s="190"/>
      <c r="B19" s="203"/>
      <c r="C19" s="203"/>
      <c r="D19" s="190"/>
      <c r="E19" s="190"/>
      <c r="F19" s="190"/>
      <c r="G19" s="190"/>
      <c r="H19" s="190"/>
    </row>
    <row r="20" spans="1:8" ht="15.75" thickBot="1" x14ac:dyDescent="0.3">
      <c r="A20" s="190"/>
      <c r="B20" s="216" t="s">
        <v>1416</v>
      </c>
      <c r="C20" s="203"/>
      <c r="D20" s="190"/>
      <c r="E20" s="215">
        <f>E16*0.12</f>
        <v>3.6737196245842245</v>
      </c>
      <c r="F20" s="190"/>
      <c r="G20" s="190"/>
      <c r="H20" s="190"/>
    </row>
    <row r="21" spans="1:8" x14ac:dyDescent="0.25">
      <c r="A21" s="190"/>
      <c r="B21" s="190"/>
      <c r="C21" s="190"/>
      <c r="D21" s="190"/>
      <c r="E21" s="190"/>
      <c r="F21" s="190"/>
      <c r="G21" s="190"/>
      <c r="H21" s="190"/>
    </row>
    <row r="22" spans="1:8" x14ac:dyDescent="0.25">
      <c r="F22" s="190"/>
    </row>
    <row r="23" spans="1:8" x14ac:dyDescent="0.25">
      <c r="F23" s="190"/>
    </row>
    <row r="24" spans="1:8" x14ac:dyDescent="0.25">
      <c r="F24" s="19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22"/>
  <sheetViews>
    <sheetView zoomScale="200" zoomScaleNormal="200" workbookViewId="0">
      <selection activeCell="B16" sqref="B16"/>
    </sheetView>
  </sheetViews>
  <sheetFormatPr defaultColWidth="9.140625" defaultRowHeight="15" x14ac:dyDescent="0.25"/>
  <cols>
    <col min="1" max="1" width="2.140625" style="229" customWidth="1"/>
    <col min="2" max="2" width="34.140625" style="229" bestFit="1" customWidth="1"/>
    <col min="3" max="3" width="0.7109375" style="229" customWidth="1"/>
    <col min="4" max="4" width="15" style="229" customWidth="1"/>
    <col min="5" max="6" width="13.5703125" style="229" customWidth="1"/>
    <col min="7" max="7" width="14" style="229" bestFit="1" customWidth="1"/>
    <col min="8" max="8" width="12.28515625" style="229" customWidth="1"/>
    <col min="9" max="16384" width="9.140625" style="229"/>
  </cols>
  <sheetData>
    <row r="1" spans="2:8" ht="15.75" thickBot="1" x14ac:dyDescent="0.3">
      <c r="B1" s="230"/>
    </row>
    <row r="2" spans="2:8" ht="15.75" thickBot="1" x14ac:dyDescent="0.3">
      <c r="B2" s="254" t="s">
        <v>1444</v>
      </c>
      <c r="C2" s="231" t="s">
        <v>1442</v>
      </c>
      <c r="D2" s="227"/>
      <c r="E2" s="231"/>
      <c r="F2" s="232"/>
    </row>
    <row r="3" spans="2:8" x14ac:dyDescent="0.25">
      <c r="B3" s="255" t="s">
        <v>1430</v>
      </c>
      <c r="C3" s="233"/>
    </row>
    <row r="4" spans="2:8" x14ac:dyDescent="0.25">
      <c r="D4" s="256" t="s">
        <v>1424</v>
      </c>
      <c r="E4" s="256" t="s">
        <v>1422</v>
      </c>
      <c r="F4" s="257"/>
      <c r="G4" s="256" t="s">
        <v>1426</v>
      </c>
    </row>
    <row r="5" spans="2:8" x14ac:dyDescent="0.25">
      <c r="B5" s="235" t="s">
        <v>1405</v>
      </c>
      <c r="C5" s="235"/>
      <c r="D5" s="258">
        <v>420000</v>
      </c>
      <c r="E5" s="259">
        <v>300000</v>
      </c>
      <c r="G5" s="266">
        <v>404900</v>
      </c>
    </row>
    <row r="6" spans="2:8" x14ac:dyDescent="0.25">
      <c r="B6" s="235" t="s">
        <v>1425</v>
      </c>
      <c r="C6" s="235"/>
      <c r="D6" s="260">
        <v>451372</v>
      </c>
      <c r="E6" s="261">
        <v>297065</v>
      </c>
      <c r="G6" s="267">
        <v>433413</v>
      </c>
    </row>
    <row r="7" spans="2:8" x14ac:dyDescent="0.25">
      <c r="B7" s="235" t="s">
        <v>1414</v>
      </c>
      <c r="C7" s="235"/>
      <c r="D7" s="262">
        <v>987</v>
      </c>
      <c r="E7" s="263">
        <v>130</v>
      </c>
      <c r="G7" s="268">
        <f>E7+D7</f>
        <v>1117</v>
      </c>
      <c r="H7" s="236"/>
    </row>
    <row r="8" spans="2:8" x14ac:dyDescent="0.25">
      <c r="B8" s="237" t="s">
        <v>1404</v>
      </c>
      <c r="C8" s="235"/>
      <c r="D8" s="264">
        <f>IF('Gap Summary'!B4="Base",'Affordable Sales Price'!F5,'Affordable Sales Price - alt'!H5)</f>
        <v>315319.60249599192</v>
      </c>
      <c r="E8" s="265">
        <f>IF('Gap Summary'!B4="Base",'Affordable Sales Price'!F9,'Affordable Sales Price - alt'!H7)</f>
        <v>238101.10621835536</v>
      </c>
      <c r="G8" s="269">
        <f>AVERAGE(D8:E8)</f>
        <v>276710.35435717367</v>
      </c>
    </row>
    <row r="9" spans="2:8" ht="9.6" customHeight="1" x14ac:dyDescent="0.25">
      <c r="B9" s="238"/>
      <c r="C9" s="235"/>
      <c r="D9" s="239"/>
      <c r="E9" s="239"/>
      <c r="G9" s="239"/>
    </row>
    <row r="10" spans="2:8" x14ac:dyDescent="0.25">
      <c r="B10" s="235" t="s">
        <v>1409</v>
      </c>
      <c r="C10" s="235"/>
      <c r="D10" s="244">
        <f>D5-D8</f>
        <v>104680.39750400808</v>
      </c>
      <c r="E10" s="245">
        <f>E5-E8</f>
        <v>61898.893781644641</v>
      </c>
      <c r="G10" s="246">
        <f>G5-G8</f>
        <v>128189.64564282633</v>
      </c>
    </row>
    <row r="11" spans="2:8" x14ac:dyDescent="0.25">
      <c r="B11" s="235"/>
      <c r="C11" s="235"/>
    </row>
    <row r="12" spans="2:8" x14ac:dyDescent="0.25">
      <c r="B12" s="235" t="s">
        <v>1410</v>
      </c>
      <c r="C12" s="235"/>
      <c r="D12" s="270">
        <v>1558</v>
      </c>
      <c r="E12" s="271">
        <v>1171</v>
      </c>
      <c r="G12" s="272">
        <v>1508</v>
      </c>
    </row>
    <row r="13" spans="2:8" x14ac:dyDescent="0.25">
      <c r="B13" s="235"/>
      <c r="C13" s="235"/>
    </row>
    <row r="14" spans="2:8" x14ac:dyDescent="0.25">
      <c r="B14" s="235" t="s">
        <v>1408</v>
      </c>
      <c r="C14" s="235"/>
      <c r="D14" s="249">
        <f>D10/D12</f>
        <v>67.188958603342797</v>
      </c>
      <c r="E14" s="250">
        <f>E10/E12</f>
        <v>52.859858054350674</v>
      </c>
      <c r="G14" s="247">
        <f>G10/G12</f>
        <v>85.00639631487158</v>
      </c>
    </row>
    <row r="15" spans="2:8" x14ac:dyDescent="0.25">
      <c r="B15" s="235"/>
      <c r="C15" s="235"/>
    </row>
    <row r="16" spans="2:8" x14ac:dyDescent="0.25">
      <c r="B16" s="240" t="s">
        <v>1416</v>
      </c>
      <c r="C16" s="235"/>
      <c r="E16" s="251">
        <f>(((D14*D7)+(E14*E7))/(D7+E7))</f>
        <v>65.521292469619453</v>
      </c>
    </row>
    <row r="17" spans="2:7" x14ac:dyDescent="0.25">
      <c r="B17" s="235"/>
      <c r="C17" s="235"/>
    </row>
    <row r="18" spans="2:7" x14ac:dyDescent="0.25">
      <c r="B18" s="241" t="s">
        <v>1431</v>
      </c>
      <c r="C18" s="241"/>
      <c r="D18" s="252">
        <f>D14*0.12</f>
        <v>8.0626750324011347</v>
      </c>
      <c r="E18" s="253">
        <f>E14*0.12</f>
        <v>6.3431829665220807</v>
      </c>
      <c r="G18" s="248">
        <f>G14*0.12</f>
        <v>10.200767557784589</v>
      </c>
    </row>
    <row r="19" spans="2:7" x14ac:dyDescent="0.25">
      <c r="B19" s="235"/>
      <c r="C19" s="235"/>
    </row>
    <row r="20" spans="2:7" x14ac:dyDescent="0.25">
      <c r="B20" s="240" t="s">
        <v>1416</v>
      </c>
      <c r="C20" s="235"/>
      <c r="E20" s="273">
        <f>E16*0.12</f>
        <v>7.8625550963543338</v>
      </c>
    </row>
    <row r="22" spans="2:7" x14ac:dyDescent="0.25">
      <c r="E22" s="322">
        <f>((D7*D12)+(E7*E12))/(D7+E7)</f>
        <v>1512.9597135183528</v>
      </c>
    </row>
  </sheetData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22"/>
  <sheetViews>
    <sheetView topLeftCell="A4" zoomScale="200" zoomScaleNormal="200" workbookViewId="0">
      <selection activeCell="B16" sqref="B16"/>
    </sheetView>
  </sheetViews>
  <sheetFormatPr defaultColWidth="9.140625" defaultRowHeight="15" x14ac:dyDescent="0.25"/>
  <cols>
    <col min="1" max="1" width="2.140625" style="229" customWidth="1"/>
    <col min="2" max="2" width="34.140625" style="229" bestFit="1" customWidth="1"/>
    <col min="3" max="3" width="0.7109375" style="229" customWidth="1"/>
    <col min="4" max="4" width="15" style="229" customWidth="1"/>
    <col min="5" max="6" width="13.5703125" style="229" customWidth="1"/>
    <col min="7" max="7" width="14" style="229" bestFit="1" customWidth="1"/>
    <col min="8" max="8" width="12.28515625" style="229" customWidth="1"/>
    <col min="9" max="16384" width="9.140625" style="229"/>
  </cols>
  <sheetData>
    <row r="1" spans="2:8" ht="15.75" thickBot="1" x14ac:dyDescent="0.3">
      <c r="B1" s="230"/>
    </row>
    <row r="2" spans="2:8" ht="15.75" thickBot="1" x14ac:dyDescent="0.3">
      <c r="B2" s="254" t="s">
        <v>1445</v>
      </c>
      <c r="C2" s="231"/>
      <c r="D2" s="227" t="s">
        <v>1442</v>
      </c>
      <c r="E2" s="231"/>
      <c r="F2" s="232"/>
    </row>
    <row r="3" spans="2:8" x14ac:dyDescent="0.25">
      <c r="B3" s="255" t="s">
        <v>1427</v>
      </c>
      <c r="C3" s="233"/>
    </row>
    <row r="4" spans="2:8" x14ac:dyDescent="0.25">
      <c r="D4" s="256" t="s">
        <v>1424</v>
      </c>
      <c r="E4" s="256" t="s">
        <v>1422</v>
      </c>
      <c r="F4" s="257"/>
      <c r="G4" s="256" t="s">
        <v>1426</v>
      </c>
    </row>
    <row r="5" spans="2:8" x14ac:dyDescent="0.25">
      <c r="B5" s="235" t="s">
        <v>1405</v>
      </c>
      <c r="C5" s="235"/>
      <c r="D5" s="258">
        <v>405000</v>
      </c>
      <c r="E5" s="259">
        <v>295000</v>
      </c>
      <c r="G5" s="266">
        <v>385950</v>
      </c>
    </row>
    <row r="6" spans="2:8" x14ac:dyDescent="0.25">
      <c r="B6" s="235" t="s">
        <v>1425</v>
      </c>
      <c r="C6" s="235"/>
      <c r="D6" s="260">
        <v>435335</v>
      </c>
      <c r="E6" s="261">
        <v>299204</v>
      </c>
      <c r="G6" s="267">
        <v>417329</v>
      </c>
    </row>
    <row r="7" spans="2:8" x14ac:dyDescent="0.25">
      <c r="B7" s="235" t="s">
        <v>1414</v>
      </c>
      <c r="C7" s="235"/>
      <c r="D7" s="262">
        <v>1673</v>
      </c>
      <c r="E7" s="263">
        <v>254</v>
      </c>
      <c r="G7" s="268">
        <f>E7+D7</f>
        <v>1927</v>
      </c>
      <c r="H7" s="236"/>
    </row>
    <row r="8" spans="2:8" x14ac:dyDescent="0.25">
      <c r="B8" s="237" t="s">
        <v>1404</v>
      </c>
      <c r="C8" s="235"/>
      <c r="D8" s="264">
        <f>IF('Gap Summary'!B4="Base",'Affordable Sales Price'!F5,'Affordable Sales Price - alt'!H5)</f>
        <v>315319.60249599192</v>
      </c>
      <c r="E8" s="265">
        <f>IF('Gap Summary'!B4="Base",'Affordable Sales Price'!F9,'Affordable Sales Price - alt'!H7)</f>
        <v>238101.10621835536</v>
      </c>
      <c r="G8" s="269">
        <f>AVERAGE(D8:E8)</f>
        <v>276710.35435717367</v>
      </c>
    </row>
    <row r="9" spans="2:8" ht="9.6" customHeight="1" x14ac:dyDescent="0.25">
      <c r="B9" s="238"/>
      <c r="C9" s="235"/>
      <c r="D9" s="239"/>
      <c r="E9" s="239"/>
      <c r="G9" s="239"/>
    </row>
    <row r="10" spans="2:8" x14ac:dyDescent="0.25">
      <c r="B10" s="235" t="s">
        <v>1409</v>
      </c>
      <c r="C10" s="235"/>
      <c r="D10" s="244">
        <f>D5-D8</f>
        <v>89680.397504008084</v>
      </c>
      <c r="E10" s="245">
        <f>E5-E8</f>
        <v>56898.893781644641</v>
      </c>
      <c r="G10" s="246">
        <f>G5-G8</f>
        <v>109239.64564282633</v>
      </c>
    </row>
    <row r="11" spans="2:8" x14ac:dyDescent="0.25">
      <c r="B11" s="235"/>
      <c r="C11" s="235"/>
    </row>
    <row r="12" spans="2:8" x14ac:dyDescent="0.25">
      <c r="B12" s="235" t="s">
        <v>1410</v>
      </c>
      <c r="C12" s="235"/>
      <c r="D12" s="270">
        <v>1556</v>
      </c>
      <c r="E12" s="271">
        <v>1171</v>
      </c>
      <c r="G12" s="272">
        <v>1484</v>
      </c>
    </row>
    <row r="13" spans="2:8" x14ac:dyDescent="0.25">
      <c r="B13" s="235"/>
      <c r="C13" s="235"/>
      <c r="G13" s="229" t="s">
        <v>1441</v>
      </c>
    </row>
    <row r="14" spans="2:8" x14ac:dyDescent="0.25">
      <c r="B14" s="235" t="s">
        <v>1408</v>
      </c>
      <c r="C14" s="235"/>
      <c r="D14" s="249">
        <f>D10/D12</f>
        <v>57.635216904889511</v>
      </c>
      <c r="E14" s="250">
        <f>E10/E12</f>
        <v>48.590003229414727</v>
      </c>
      <c r="G14" s="247">
        <f>G10/G12</f>
        <v>73.611621053117474</v>
      </c>
    </row>
    <row r="15" spans="2:8" x14ac:dyDescent="0.25">
      <c r="B15" s="235"/>
      <c r="C15" s="235"/>
    </row>
    <row r="16" spans="2:8" x14ac:dyDescent="0.25">
      <c r="B16" s="240" t="s">
        <v>1416</v>
      </c>
      <c r="C16" s="235"/>
      <c r="E16" s="251">
        <f>(((D14*D7)+(E14*E7))/(D7+E7))</f>
        <v>56.442957292242596</v>
      </c>
    </row>
    <row r="17" spans="2:7" x14ac:dyDescent="0.25">
      <c r="B17" s="235"/>
      <c r="C17" s="235"/>
    </row>
    <row r="18" spans="2:7" x14ac:dyDescent="0.25">
      <c r="B18" s="241" t="s">
        <v>1431</v>
      </c>
      <c r="C18" s="241"/>
      <c r="D18" s="252">
        <f>D14*0.12</f>
        <v>6.916226028586741</v>
      </c>
      <c r="E18" s="253">
        <f>E14*0.12</f>
        <v>5.8308003875297674</v>
      </c>
      <c r="G18" s="248">
        <f>G14*0.12</f>
        <v>8.8333945263740965</v>
      </c>
    </row>
    <row r="19" spans="2:7" x14ac:dyDescent="0.25">
      <c r="B19" s="235"/>
      <c r="C19" s="235"/>
    </row>
    <row r="20" spans="2:7" x14ac:dyDescent="0.25">
      <c r="B20" s="240" t="s">
        <v>1416</v>
      </c>
      <c r="C20" s="235"/>
      <c r="E20" s="273">
        <f>E16*0.12</f>
        <v>6.7731548750691113</v>
      </c>
    </row>
    <row r="22" spans="2:7" x14ac:dyDescent="0.25">
      <c r="E22" s="322">
        <f>((D7*D12)+(E7*E12))/(D7+E7)</f>
        <v>1505.2527244421381</v>
      </c>
    </row>
  </sheetData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22"/>
  <sheetViews>
    <sheetView zoomScale="200" zoomScaleNormal="200" workbookViewId="0">
      <selection activeCell="B16" sqref="B16"/>
    </sheetView>
  </sheetViews>
  <sheetFormatPr defaultColWidth="9.140625" defaultRowHeight="15" x14ac:dyDescent="0.25"/>
  <cols>
    <col min="1" max="1" width="2.140625" style="229" customWidth="1"/>
    <col min="2" max="2" width="34.140625" style="229" bestFit="1" customWidth="1"/>
    <col min="3" max="3" width="0.7109375" style="229" customWidth="1"/>
    <col min="4" max="4" width="15" style="229" customWidth="1"/>
    <col min="5" max="6" width="13.5703125" style="229" customWidth="1"/>
    <col min="7" max="7" width="14" style="229" bestFit="1" customWidth="1"/>
    <col min="8" max="8" width="12.28515625" style="229" customWidth="1"/>
    <col min="9" max="16384" width="9.140625" style="229"/>
  </cols>
  <sheetData>
    <row r="1" spans="2:8" ht="15.75" thickBot="1" x14ac:dyDescent="0.3">
      <c r="B1" s="230"/>
    </row>
    <row r="2" spans="2:8" ht="15.75" thickBot="1" x14ac:dyDescent="0.3">
      <c r="B2" s="254" t="s">
        <v>1443</v>
      </c>
      <c r="C2" s="231"/>
      <c r="D2" s="227" t="s">
        <v>1442</v>
      </c>
      <c r="E2" s="231"/>
      <c r="F2" s="232"/>
    </row>
    <row r="3" spans="2:8" x14ac:dyDescent="0.25">
      <c r="B3" s="255" t="s">
        <v>1421</v>
      </c>
      <c r="C3" s="233"/>
    </row>
    <row r="4" spans="2:8" x14ac:dyDescent="0.25">
      <c r="D4" s="256" t="s">
        <v>1424</v>
      </c>
      <c r="E4" s="256" t="s">
        <v>1422</v>
      </c>
      <c r="F4" s="257"/>
      <c r="G4" s="256" t="s">
        <v>1426</v>
      </c>
    </row>
    <row r="5" spans="2:8" x14ac:dyDescent="0.25">
      <c r="B5" s="235" t="s">
        <v>1405</v>
      </c>
      <c r="C5" s="235"/>
      <c r="D5" s="258">
        <v>393000</v>
      </c>
      <c r="E5" s="259">
        <v>290400</v>
      </c>
      <c r="G5" s="266">
        <v>376250</v>
      </c>
    </row>
    <row r="6" spans="2:8" x14ac:dyDescent="0.25">
      <c r="B6" s="235" t="s">
        <v>1425</v>
      </c>
      <c r="C6" s="235"/>
      <c r="D6" s="260">
        <v>429150</v>
      </c>
      <c r="E6" s="261">
        <v>294904</v>
      </c>
      <c r="G6" s="267">
        <v>411196</v>
      </c>
    </row>
    <row r="7" spans="2:8" x14ac:dyDescent="0.25">
      <c r="B7" s="235" t="s">
        <v>1414</v>
      </c>
      <c r="C7" s="235"/>
      <c r="D7" s="262">
        <v>2675</v>
      </c>
      <c r="E7" s="263">
        <v>413</v>
      </c>
      <c r="G7" s="268">
        <f>E7+D7</f>
        <v>3088</v>
      </c>
      <c r="H7" s="236"/>
    </row>
    <row r="8" spans="2:8" x14ac:dyDescent="0.25">
      <c r="B8" s="237" t="s">
        <v>1404</v>
      </c>
      <c r="C8" s="235"/>
      <c r="D8" s="264">
        <f>IF('Gap Summary'!B4="Base",'Affordable Sales Price'!F5,'Affordable Sales Price - alt'!H5)</f>
        <v>315319.60249599192</v>
      </c>
      <c r="E8" s="265">
        <f>IF('Gap Summary'!B4="Base",'Affordable Sales Price'!F9,'Affordable Sales Price - alt'!H7)</f>
        <v>238101.10621835536</v>
      </c>
      <c r="G8" s="269">
        <f>AVERAGE(D8:E8)</f>
        <v>276710.35435717367</v>
      </c>
    </row>
    <row r="9" spans="2:8" ht="9.6" customHeight="1" x14ac:dyDescent="0.25">
      <c r="B9" s="238"/>
      <c r="C9" s="235"/>
      <c r="D9" s="239"/>
      <c r="E9" s="239"/>
      <c r="G9" s="239"/>
    </row>
    <row r="10" spans="2:8" x14ac:dyDescent="0.25">
      <c r="B10" s="235" t="s">
        <v>1409</v>
      </c>
      <c r="C10" s="235"/>
      <c r="D10" s="244">
        <f>D5-D8</f>
        <v>77680.397504008084</v>
      </c>
      <c r="E10" s="245">
        <f>E5-E8</f>
        <v>52298.893781644641</v>
      </c>
      <c r="G10" s="246">
        <f>G5-G8</f>
        <v>99539.645642826334</v>
      </c>
    </row>
    <row r="11" spans="2:8" x14ac:dyDescent="0.25">
      <c r="B11" s="235"/>
      <c r="C11" s="235"/>
    </row>
    <row r="12" spans="2:8" x14ac:dyDescent="0.25">
      <c r="B12" s="235" t="s">
        <v>1410</v>
      </c>
      <c r="C12" s="235"/>
      <c r="D12" s="270">
        <v>1559</v>
      </c>
      <c r="E12" s="271">
        <v>1201</v>
      </c>
      <c r="G12" s="272">
        <v>1492</v>
      </c>
    </row>
    <row r="13" spans="2:8" x14ac:dyDescent="0.25">
      <c r="B13" s="235"/>
      <c r="C13" s="235"/>
    </row>
    <row r="14" spans="2:8" x14ac:dyDescent="0.25">
      <c r="B14" s="235" t="s">
        <v>1408</v>
      </c>
      <c r="C14" s="235"/>
      <c r="D14" s="249">
        <f>D10/D12</f>
        <v>49.82706703271846</v>
      </c>
      <c r="E14" s="250">
        <f>E10/E12</f>
        <v>43.546123048829841</v>
      </c>
      <c r="G14" s="247">
        <f>G10/G12</f>
        <v>66.715580189561891</v>
      </c>
    </row>
    <row r="15" spans="2:8" x14ac:dyDescent="0.25">
      <c r="B15" s="235"/>
      <c r="C15" s="235"/>
    </row>
    <row r="16" spans="2:8" x14ac:dyDescent="0.25">
      <c r="B16" s="240" t="s">
        <v>1416</v>
      </c>
      <c r="C16" s="235"/>
      <c r="E16" s="251">
        <f>(((D14*D7)+(E14*E7))/(D7+E7))</f>
        <v>48.987031454562377</v>
      </c>
    </row>
    <row r="17" spans="2:7" x14ac:dyDescent="0.25">
      <c r="B17" s="235"/>
      <c r="C17" s="235"/>
    </row>
    <row r="18" spans="2:7" x14ac:dyDescent="0.25">
      <c r="B18" s="241" t="s">
        <v>1431</v>
      </c>
      <c r="C18" s="241"/>
      <c r="D18" s="252">
        <f>D14*0.12</f>
        <v>5.9792480439262148</v>
      </c>
      <c r="E18" s="253">
        <f>E14*0.12</f>
        <v>5.2255347658595808</v>
      </c>
      <c r="G18" s="248">
        <f>G14*0.12</f>
        <v>8.0058696227474258</v>
      </c>
    </row>
    <row r="19" spans="2:7" x14ac:dyDescent="0.25">
      <c r="B19" s="235"/>
      <c r="C19" s="235"/>
    </row>
    <row r="20" spans="2:7" x14ac:dyDescent="0.25">
      <c r="B20" s="240" t="s">
        <v>1416</v>
      </c>
      <c r="C20" s="235"/>
      <c r="E20" s="273">
        <f>E16*0.12</f>
        <v>5.8784437745474847</v>
      </c>
    </row>
    <row r="22" spans="2:7" x14ac:dyDescent="0.25">
      <c r="E22" s="322">
        <f>((D7*D12)+(E7*E12))/(D7+E7)</f>
        <v>1511.1198186528497</v>
      </c>
    </row>
  </sheetData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22"/>
  <sheetViews>
    <sheetView zoomScale="190" zoomScaleNormal="190" workbookViewId="0">
      <selection activeCell="B16" sqref="B16"/>
    </sheetView>
  </sheetViews>
  <sheetFormatPr defaultColWidth="9.140625" defaultRowHeight="15" x14ac:dyDescent="0.25"/>
  <cols>
    <col min="1" max="1" width="2.140625" style="229" customWidth="1"/>
    <col min="2" max="2" width="34.140625" style="229" bestFit="1" customWidth="1"/>
    <col min="3" max="3" width="0.7109375" style="229" customWidth="1"/>
    <col min="4" max="4" width="15" style="229" customWidth="1"/>
    <col min="5" max="6" width="13.5703125" style="229" customWidth="1"/>
    <col min="7" max="7" width="14" style="229" bestFit="1" customWidth="1"/>
    <col min="8" max="8" width="12.28515625" style="229" customWidth="1"/>
    <col min="9" max="16384" width="9.140625" style="229"/>
  </cols>
  <sheetData>
    <row r="1" spans="2:8" ht="15.75" thickBot="1" x14ac:dyDescent="0.3">
      <c r="B1" s="230"/>
    </row>
    <row r="2" spans="2:8" ht="15.75" thickBot="1" x14ac:dyDescent="0.3">
      <c r="B2" s="254" t="s">
        <v>1444</v>
      </c>
      <c r="C2" s="231"/>
      <c r="D2" s="227" t="s">
        <v>1446</v>
      </c>
      <c r="E2" s="231"/>
      <c r="F2" s="232"/>
    </row>
    <row r="3" spans="2:8" x14ac:dyDescent="0.25">
      <c r="B3" s="255" t="s">
        <v>1430</v>
      </c>
      <c r="C3" s="233"/>
    </row>
    <row r="4" spans="2:8" x14ac:dyDescent="0.25">
      <c r="D4" s="256" t="s">
        <v>1424</v>
      </c>
      <c r="E4" s="256" t="s">
        <v>1422</v>
      </c>
      <c r="F4" s="257"/>
      <c r="G4" s="256" t="s">
        <v>1426</v>
      </c>
    </row>
    <row r="5" spans="2:8" x14ac:dyDescent="0.25">
      <c r="B5" s="235" t="s">
        <v>1405</v>
      </c>
      <c r="C5" s="235"/>
      <c r="D5" s="258">
        <v>485200</v>
      </c>
      <c r="E5" s="259">
        <v>326000</v>
      </c>
      <c r="G5" s="266">
        <v>459000</v>
      </c>
    </row>
    <row r="6" spans="2:8" x14ac:dyDescent="0.25">
      <c r="B6" s="235" t="s">
        <v>1425</v>
      </c>
      <c r="C6" s="235"/>
      <c r="D6" s="260">
        <v>516410</v>
      </c>
      <c r="E6" s="261">
        <v>352129</v>
      </c>
      <c r="G6" s="267">
        <v>473819</v>
      </c>
    </row>
    <row r="7" spans="2:8" x14ac:dyDescent="0.25">
      <c r="B7" s="235" t="s">
        <v>1414</v>
      </c>
      <c r="C7" s="235"/>
      <c r="D7" s="262">
        <v>20</v>
      </c>
      <c r="E7" s="263">
        <v>7</v>
      </c>
      <c r="G7" s="268">
        <f>E7+D7</f>
        <v>27</v>
      </c>
      <c r="H7" s="236"/>
    </row>
    <row r="8" spans="2:8" x14ac:dyDescent="0.25">
      <c r="B8" s="237" t="s">
        <v>1404</v>
      </c>
      <c r="C8" s="235"/>
      <c r="D8" s="264">
        <f>IF('Gap Summary'!B4="Base",'Affordable Sales Price'!F5,'Affordable Sales Price - alt'!H5)</f>
        <v>315319.60249599192</v>
      </c>
      <c r="E8" s="265">
        <f>IF('Gap Summary'!B4="Base",'Affordable Sales Price'!F9,'Affordable Sales Price - alt'!H7)</f>
        <v>238101.10621835536</v>
      </c>
      <c r="G8" s="269">
        <f>AVERAGE(D8:E8)</f>
        <v>276710.35435717367</v>
      </c>
    </row>
    <row r="9" spans="2:8" ht="9.6" customHeight="1" x14ac:dyDescent="0.25">
      <c r="B9" s="238"/>
      <c r="C9" s="235"/>
      <c r="D9" s="239"/>
      <c r="E9" s="239"/>
      <c r="G9" s="239"/>
    </row>
    <row r="10" spans="2:8" x14ac:dyDescent="0.25">
      <c r="B10" s="235" t="s">
        <v>1409</v>
      </c>
      <c r="C10" s="235"/>
      <c r="D10" s="244">
        <f>D5-D8</f>
        <v>169880.39750400808</v>
      </c>
      <c r="E10" s="245">
        <f>E5-E8</f>
        <v>87898.893781644641</v>
      </c>
      <c r="G10" s="246">
        <f>G5-G8</f>
        <v>182289.64564282633</v>
      </c>
    </row>
    <row r="11" spans="2:8" x14ac:dyDescent="0.25">
      <c r="B11" s="235"/>
      <c r="C11" s="235"/>
    </row>
    <row r="12" spans="2:8" x14ac:dyDescent="0.25">
      <c r="B12" s="235" t="s">
        <v>1410</v>
      </c>
      <c r="C12" s="235"/>
      <c r="D12" s="270">
        <v>1896</v>
      </c>
      <c r="E12" s="271">
        <v>1301</v>
      </c>
      <c r="G12" s="272">
        <v>1826</v>
      </c>
    </row>
    <row r="13" spans="2:8" x14ac:dyDescent="0.25">
      <c r="B13" s="235"/>
      <c r="C13" s="235"/>
    </row>
    <row r="14" spans="2:8" x14ac:dyDescent="0.25">
      <c r="B14" s="235" t="s">
        <v>1408</v>
      </c>
      <c r="C14" s="235"/>
      <c r="D14" s="249">
        <f>D10/D12</f>
        <v>89.599365772156162</v>
      </c>
      <c r="E14" s="250">
        <f>E10/E12</f>
        <v>67.562562476283347</v>
      </c>
      <c r="G14" s="247">
        <f>G10/G12</f>
        <v>99.830035948973901</v>
      </c>
    </row>
    <row r="15" spans="2:8" x14ac:dyDescent="0.25">
      <c r="B15" s="235"/>
      <c r="C15" s="235"/>
    </row>
    <row r="16" spans="2:8" x14ac:dyDescent="0.25">
      <c r="B16" s="240" t="s">
        <v>1416</v>
      </c>
      <c r="C16" s="235"/>
      <c r="E16" s="251">
        <f>(((D14*D7)+(E14*E7))/(D7+E7))</f>
        <v>83.886120473226185</v>
      </c>
    </row>
    <row r="17" spans="2:7" x14ac:dyDescent="0.25">
      <c r="B17" s="235"/>
      <c r="C17" s="235"/>
    </row>
    <row r="18" spans="2:7" x14ac:dyDescent="0.25">
      <c r="B18" s="241" t="s">
        <v>1431</v>
      </c>
      <c r="C18" s="241"/>
      <c r="D18" s="252">
        <f>D14*0.12</f>
        <v>10.751923892658739</v>
      </c>
      <c r="E18" s="253">
        <f>E14*0.12</f>
        <v>8.1075074971540015</v>
      </c>
      <c r="G18" s="248">
        <f>G14*0.12</f>
        <v>11.979604313876868</v>
      </c>
    </row>
    <row r="19" spans="2:7" x14ac:dyDescent="0.25">
      <c r="B19" s="235"/>
      <c r="C19" s="235"/>
    </row>
    <row r="20" spans="2:7" x14ac:dyDescent="0.25">
      <c r="B20" s="240" t="s">
        <v>1416</v>
      </c>
      <c r="C20" s="235"/>
      <c r="E20" s="273">
        <f>E16*0.12</f>
        <v>10.066334456787143</v>
      </c>
    </row>
    <row r="22" spans="2:7" x14ac:dyDescent="0.25">
      <c r="E22" s="322">
        <f>((D7*D12)+(E7*E12))/(D7+E7)</f>
        <v>1741.7407407407406</v>
      </c>
    </row>
  </sheetData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22"/>
  <sheetViews>
    <sheetView zoomScale="180" zoomScaleNormal="180" workbookViewId="0">
      <selection activeCell="B16" sqref="B16"/>
    </sheetView>
  </sheetViews>
  <sheetFormatPr defaultColWidth="9.140625" defaultRowHeight="15" x14ac:dyDescent="0.25"/>
  <cols>
    <col min="1" max="1" width="2.140625" style="229" customWidth="1"/>
    <col min="2" max="2" width="34.140625" style="229" bestFit="1" customWidth="1"/>
    <col min="3" max="3" width="0.7109375" style="229" customWidth="1"/>
    <col min="4" max="4" width="15" style="229" customWidth="1"/>
    <col min="5" max="6" width="13.5703125" style="229" customWidth="1"/>
    <col min="7" max="7" width="14" style="229" bestFit="1" customWidth="1"/>
    <col min="8" max="8" width="12.28515625" style="229" customWidth="1"/>
    <col min="9" max="16384" width="9.140625" style="229"/>
  </cols>
  <sheetData>
    <row r="1" spans="2:8" ht="15.75" thickBot="1" x14ac:dyDescent="0.3">
      <c r="B1" s="230"/>
    </row>
    <row r="2" spans="2:8" ht="15.75" thickBot="1" x14ac:dyDescent="0.3">
      <c r="B2" s="254" t="s">
        <v>1519</v>
      </c>
      <c r="C2" s="231"/>
      <c r="D2" s="227" t="s">
        <v>1446</v>
      </c>
      <c r="E2" s="231"/>
      <c r="F2" s="232"/>
    </row>
    <row r="3" spans="2:8" x14ac:dyDescent="0.25">
      <c r="B3" s="255" t="s">
        <v>1433</v>
      </c>
      <c r="C3" s="233"/>
    </row>
    <row r="4" spans="2:8" x14ac:dyDescent="0.25">
      <c r="D4" s="256" t="s">
        <v>1424</v>
      </c>
      <c r="E4" s="256" t="s">
        <v>1422</v>
      </c>
      <c r="F4" s="257"/>
      <c r="G4" s="256" t="s">
        <v>1426</v>
      </c>
    </row>
    <row r="5" spans="2:8" x14ac:dyDescent="0.25">
      <c r="B5" s="235" t="s">
        <v>1405</v>
      </c>
      <c r="C5" s="235"/>
      <c r="D5" s="258">
        <v>481500</v>
      </c>
      <c r="E5" s="259">
        <v>326000</v>
      </c>
      <c r="G5" s="266">
        <v>454500</v>
      </c>
    </row>
    <row r="6" spans="2:8" x14ac:dyDescent="0.25">
      <c r="B6" s="235" t="s">
        <v>1425</v>
      </c>
      <c r="C6" s="235"/>
      <c r="D6" s="260">
        <v>513619</v>
      </c>
      <c r="E6" s="261">
        <v>347522</v>
      </c>
      <c r="G6" s="267">
        <v>476248</v>
      </c>
    </row>
    <row r="7" spans="2:8" x14ac:dyDescent="0.25">
      <c r="B7" s="235" t="s">
        <v>1414</v>
      </c>
      <c r="C7" s="235"/>
      <c r="D7" s="262">
        <v>31</v>
      </c>
      <c r="E7" s="263">
        <v>9</v>
      </c>
      <c r="G7" s="268">
        <v>40</v>
      </c>
      <c r="H7" s="236"/>
    </row>
    <row r="8" spans="2:8" x14ac:dyDescent="0.25">
      <c r="B8" s="237" t="s">
        <v>1404</v>
      </c>
      <c r="C8" s="235"/>
      <c r="D8" s="264">
        <f>IF('Gap Summary'!B4="Base",'Affordable Sales Price'!F5,'Affordable Sales Price - alt'!H5)</f>
        <v>315319.60249599192</v>
      </c>
      <c r="E8" s="265">
        <f>IF('Gap Summary'!B4="Base",'Affordable Sales Price'!F9,'Affordable Sales Price - alt'!H7)</f>
        <v>238101.10621835536</v>
      </c>
      <c r="G8" s="269">
        <f>AVERAGE(D8:E8)</f>
        <v>276710.35435717367</v>
      </c>
    </row>
    <row r="9" spans="2:8" ht="9.6" customHeight="1" x14ac:dyDescent="0.25">
      <c r="B9" s="238"/>
      <c r="C9" s="235"/>
      <c r="D9" s="239"/>
      <c r="E9" s="239"/>
      <c r="G9" s="239"/>
    </row>
    <row r="10" spans="2:8" x14ac:dyDescent="0.25">
      <c r="B10" s="235" t="s">
        <v>1409</v>
      </c>
      <c r="C10" s="235"/>
      <c r="D10" s="244">
        <f>D5-D8</f>
        <v>166180.39750400808</v>
      </c>
      <c r="E10" s="245">
        <f>E5-E8</f>
        <v>87898.893781644641</v>
      </c>
      <c r="G10" s="246">
        <f>G5-G8</f>
        <v>177789.64564282633</v>
      </c>
    </row>
    <row r="11" spans="2:8" x14ac:dyDescent="0.25">
      <c r="B11" s="235"/>
      <c r="C11" s="235"/>
    </row>
    <row r="12" spans="2:8" x14ac:dyDescent="0.25">
      <c r="B12" s="235" t="s">
        <v>1410</v>
      </c>
      <c r="C12" s="235"/>
      <c r="D12" s="270">
        <v>1915</v>
      </c>
      <c r="E12" s="271">
        <v>1301</v>
      </c>
      <c r="G12" s="272">
        <v>1879</v>
      </c>
    </row>
    <row r="13" spans="2:8" x14ac:dyDescent="0.25">
      <c r="B13" s="235"/>
      <c r="C13" s="235"/>
    </row>
    <row r="14" spans="2:8" x14ac:dyDescent="0.25">
      <c r="B14" s="235" t="s">
        <v>1408</v>
      </c>
      <c r="C14" s="235"/>
      <c r="D14" s="249">
        <f>D10/D12</f>
        <v>86.77827545901205</v>
      </c>
      <c r="E14" s="250">
        <f>E10/E12</f>
        <v>67.562562476283347</v>
      </c>
      <c r="G14" s="247">
        <f>G10/G12</f>
        <v>94.619289857810713</v>
      </c>
    </row>
    <row r="15" spans="2:8" x14ac:dyDescent="0.25">
      <c r="B15" s="235"/>
      <c r="C15" s="235"/>
    </row>
    <row r="16" spans="2:8" x14ac:dyDescent="0.25">
      <c r="B16" s="240" t="s">
        <v>1416</v>
      </c>
      <c r="C16" s="235"/>
      <c r="E16" s="251">
        <f>(((D14*D7)+(E14*E7))/(D7+E7))</f>
        <v>82.454740037898091</v>
      </c>
    </row>
    <row r="17" spans="2:7" x14ac:dyDescent="0.25">
      <c r="B17" s="235"/>
      <c r="C17" s="235"/>
    </row>
    <row r="18" spans="2:7" x14ac:dyDescent="0.25">
      <c r="B18" s="241" t="s">
        <v>1431</v>
      </c>
      <c r="C18" s="241"/>
      <c r="D18" s="252">
        <f>D14*0.12</f>
        <v>10.413393055081446</v>
      </c>
      <c r="E18" s="253">
        <f>E14*0.12</f>
        <v>8.1075074971540015</v>
      </c>
      <c r="G18" s="248">
        <f>G14*0.12</f>
        <v>11.354314782937285</v>
      </c>
    </row>
    <row r="19" spans="2:7" x14ac:dyDescent="0.25">
      <c r="B19" s="235"/>
      <c r="C19" s="235"/>
    </row>
    <row r="20" spans="2:7" x14ac:dyDescent="0.25">
      <c r="B20" s="240" t="s">
        <v>1416</v>
      </c>
      <c r="C20" s="235"/>
      <c r="E20" s="273">
        <f>E16*0.12</f>
        <v>9.8945688045477702</v>
      </c>
    </row>
    <row r="22" spans="2:7" x14ac:dyDescent="0.25">
      <c r="E22" s="322">
        <f>((D7*D12)+(E7*E12))/(D7+E7)</f>
        <v>1776.85</v>
      </c>
    </row>
  </sheetData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22"/>
  <sheetViews>
    <sheetView zoomScale="160" zoomScaleNormal="160" workbookViewId="0">
      <selection activeCell="B16" sqref="B16"/>
    </sheetView>
  </sheetViews>
  <sheetFormatPr defaultColWidth="9.140625" defaultRowHeight="15" x14ac:dyDescent="0.25"/>
  <cols>
    <col min="1" max="1" width="2.140625" style="229" customWidth="1"/>
    <col min="2" max="2" width="34.140625" style="229" bestFit="1" customWidth="1"/>
    <col min="3" max="3" width="0.7109375" style="229" customWidth="1"/>
    <col min="4" max="4" width="15" style="229" customWidth="1"/>
    <col min="5" max="6" width="13.5703125" style="229" customWidth="1"/>
    <col min="7" max="7" width="14" style="229" bestFit="1" customWidth="1"/>
    <col min="8" max="8" width="12.28515625" style="229" customWidth="1"/>
    <col min="9" max="16384" width="9.140625" style="229"/>
  </cols>
  <sheetData>
    <row r="1" spans="2:8" ht="15.75" thickBot="1" x14ac:dyDescent="0.3">
      <c r="B1" s="230"/>
    </row>
    <row r="2" spans="2:8" ht="15.75" thickBot="1" x14ac:dyDescent="0.3">
      <c r="B2" s="254" t="s">
        <v>1443</v>
      </c>
      <c r="C2" s="231"/>
      <c r="D2" s="227" t="s">
        <v>1446</v>
      </c>
      <c r="E2" s="231"/>
      <c r="F2" s="232"/>
    </row>
    <row r="3" spans="2:8" x14ac:dyDescent="0.25">
      <c r="B3" s="255" t="s">
        <v>1421</v>
      </c>
      <c r="C3" s="233"/>
    </row>
    <row r="4" spans="2:8" x14ac:dyDescent="0.25">
      <c r="D4" s="256" t="s">
        <v>1424</v>
      </c>
      <c r="E4" s="256" t="s">
        <v>1422</v>
      </c>
      <c r="F4" s="257"/>
      <c r="G4" s="256" t="s">
        <v>1426</v>
      </c>
    </row>
    <row r="5" spans="2:8" x14ac:dyDescent="0.25">
      <c r="B5" s="235" t="s">
        <v>1405</v>
      </c>
      <c r="C5" s="235"/>
      <c r="D5" s="258">
        <v>459000</v>
      </c>
      <c r="E5" s="259">
        <v>336550</v>
      </c>
      <c r="G5" s="266">
        <v>419900</v>
      </c>
    </row>
    <row r="6" spans="2:8" x14ac:dyDescent="0.25">
      <c r="B6" s="235" t="s">
        <v>1425</v>
      </c>
      <c r="C6" s="235"/>
      <c r="D6" s="260">
        <v>515426</v>
      </c>
      <c r="E6" s="261">
        <v>350440</v>
      </c>
      <c r="G6" s="267">
        <v>465430</v>
      </c>
    </row>
    <row r="7" spans="2:8" x14ac:dyDescent="0.25">
      <c r="B7" s="235" t="s">
        <v>1414</v>
      </c>
      <c r="C7" s="235"/>
      <c r="D7" s="262">
        <v>69</v>
      </c>
      <c r="E7" s="263">
        <v>30</v>
      </c>
      <c r="G7" s="268">
        <v>99</v>
      </c>
      <c r="H7" s="236"/>
    </row>
    <row r="8" spans="2:8" x14ac:dyDescent="0.25">
      <c r="B8" s="237" t="s">
        <v>1404</v>
      </c>
      <c r="C8" s="235"/>
      <c r="D8" s="264">
        <f>IF('Gap Summary'!B4="Base",'Affordable Sales Price'!F5,'Affordable Sales Price - alt'!H5)</f>
        <v>315319.60249599192</v>
      </c>
      <c r="E8" s="265">
        <f>IF('Gap Summary'!B4="Base",'Affordable Sales Price'!F9,'Affordable Sales Price - alt'!H7)</f>
        <v>238101.10621835536</v>
      </c>
      <c r="G8" s="269">
        <f>AVERAGE(D8:E8)</f>
        <v>276710.35435717367</v>
      </c>
    </row>
    <row r="9" spans="2:8" ht="9.6" customHeight="1" x14ac:dyDescent="0.25">
      <c r="B9" s="238"/>
      <c r="C9" s="235"/>
      <c r="D9" s="239"/>
      <c r="E9" s="239"/>
      <c r="G9" s="239"/>
    </row>
    <row r="10" spans="2:8" x14ac:dyDescent="0.25">
      <c r="B10" s="235" t="s">
        <v>1409</v>
      </c>
      <c r="C10" s="235"/>
      <c r="D10" s="244">
        <f>D5-D8</f>
        <v>143680.39750400808</v>
      </c>
      <c r="E10" s="245">
        <f>E5-E8</f>
        <v>98448.893781644641</v>
      </c>
      <c r="G10" s="246">
        <f>G5-G8</f>
        <v>143189.64564282633</v>
      </c>
    </row>
    <row r="11" spans="2:8" x14ac:dyDescent="0.25">
      <c r="B11" s="235"/>
      <c r="C11" s="235"/>
    </row>
    <row r="12" spans="2:8" x14ac:dyDescent="0.25">
      <c r="B12" s="235" t="s">
        <v>1410</v>
      </c>
      <c r="C12" s="235"/>
      <c r="D12" s="270">
        <v>1937</v>
      </c>
      <c r="E12" s="271">
        <v>1420</v>
      </c>
      <c r="G12" s="272">
        <v>1756</v>
      </c>
    </row>
    <row r="13" spans="2:8" x14ac:dyDescent="0.25">
      <c r="B13" s="235"/>
      <c r="C13" s="235"/>
    </row>
    <row r="14" spans="2:8" x14ac:dyDescent="0.25">
      <c r="B14" s="235" t="s">
        <v>1408</v>
      </c>
      <c r="C14" s="235"/>
      <c r="D14" s="249">
        <f>D10/D12</f>
        <v>74.176766909658284</v>
      </c>
      <c r="E14" s="250">
        <f>E10/E12</f>
        <v>69.330206888482138</v>
      </c>
      <c r="G14" s="247">
        <f>G10/G12</f>
        <v>81.543078384297459</v>
      </c>
    </row>
    <row r="15" spans="2:8" x14ac:dyDescent="0.25">
      <c r="B15" s="235"/>
      <c r="C15" s="235"/>
    </row>
    <row r="16" spans="2:8" x14ac:dyDescent="0.25">
      <c r="B16" s="240" t="s">
        <v>1416</v>
      </c>
      <c r="C16" s="235"/>
      <c r="E16" s="251">
        <f>(((D14*D7)+(E14*E7))/(D7+E7))</f>
        <v>72.708112357786732</v>
      </c>
    </row>
    <row r="17" spans="2:7" x14ac:dyDescent="0.25">
      <c r="B17" s="235"/>
      <c r="C17" s="235"/>
    </row>
    <row r="18" spans="2:7" x14ac:dyDescent="0.25">
      <c r="B18" s="241" t="s">
        <v>1431</v>
      </c>
      <c r="C18" s="241"/>
      <c r="D18" s="252">
        <f>D14*0.12</f>
        <v>8.9012120291589945</v>
      </c>
      <c r="E18" s="253">
        <f>E14*0.12</f>
        <v>8.3196248266178561</v>
      </c>
      <c r="G18" s="248">
        <f>G14*0.12</f>
        <v>9.7851694061156955</v>
      </c>
    </row>
    <row r="19" spans="2:7" x14ac:dyDescent="0.25">
      <c r="B19" s="235"/>
      <c r="C19" s="235"/>
    </row>
    <row r="20" spans="2:7" x14ac:dyDescent="0.25">
      <c r="B20" s="240" t="s">
        <v>1416</v>
      </c>
      <c r="C20" s="235"/>
      <c r="E20" s="273">
        <f>E16*0.12</f>
        <v>8.7249734829344074</v>
      </c>
    </row>
    <row r="22" spans="2:7" x14ac:dyDescent="0.25">
      <c r="E22" s="322">
        <f>((D7*D12)+(E7*E12))/(D7+E7)</f>
        <v>1780.3333333333333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8"/>
  <sheetViews>
    <sheetView tabSelected="1" zoomScale="190" zoomScaleNormal="190" workbookViewId="0">
      <selection activeCell="D6" sqref="D6"/>
    </sheetView>
  </sheetViews>
  <sheetFormatPr defaultColWidth="9.140625" defaultRowHeight="15" x14ac:dyDescent="0.25"/>
  <cols>
    <col min="1" max="1" width="20.7109375" style="229" customWidth="1"/>
    <col min="2" max="2" width="11.7109375" style="229" customWidth="1"/>
    <col min="3" max="3" width="13.42578125" style="229" customWidth="1"/>
    <col min="4" max="4" width="14.7109375" style="229" customWidth="1"/>
    <col min="5" max="5" width="5.140625" style="229" customWidth="1"/>
    <col min="6" max="6" width="12.42578125" style="229" customWidth="1"/>
    <col min="7" max="7" width="13.85546875" style="229" customWidth="1"/>
    <col min="8" max="8" width="12.7109375" style="229" customWidth="1"/>
    <col min="9" max="16384" width="9.140625" style="229"/>
  </cols>
  <sheetData>
    <row r="1" spans="1:8" ht="18.75" x14ac:dyDescent="0.3">
      <c r="A1" s="437" t="s">
        <v>1530</v>
      </c>
      <c r="B1" s="437"/>
      <c r="C1" s="437"/>
      <c r="D1" s="437"/>
      <c r="E1" s="437"/>
      <c r="F1" s="437"/>
      <c r="G1" s="437"/>
      <c r="H1" s="437"/>
    </row>
    <row r="3" spans="1:8" ht="30" x14ac:dyDescent="0.25">
      <c r="A3" s="308" t="s">
        <v>1508</v>
      </c>
      <c r="B3" s="314">
        <v>0.33</v>
      </c>
    </row>
    <row r="4" spans="1:8" hidden="1" x14ac:dyDescent="0.25">
      <c r="A4" s="308" t="s">
        <v>1568</v>
      </c>
      <c r="B4" s="314" t="s">
        <v>1572</v>
      </c>
    </row>
    <row r="6" spans="1:8" x14ac:dyDescent="0.25">
      <c r="A6" s="229" t="s">
        <v>1549</v>
      </c>
    </row>
    <row r="7" spans="1:8" x14ac:dyDescent="0.25">
      <c r="B7" s="445" t="s">
        <v>1426</v>
      </c>
      <c r="C7" s="445"/>
      <c r="D7" s="445"/>
      <c r="E7" s="257"/>
      <c r="F7" s="445" t="s">
        <v>1462</v>
      </c>
      <c r="G7" s="445"/>
      <c r="H7" s="445"/>
    </row>
    <row r="8" spans="1:8" ht="15.75" thickBot="1" x14ac:dyDescent="0.3">
      <c r="B8" s="256" t="s">
        <v>1436</v>
      </c>
      <c r="C8" s="256" t="s">
        <v>1469</v>
      </c>
      <c r="D8" s="256" t="s">
        <v>1437</v>
      </c>
      <c r="F8" s="256" t="s">
        <v>1436</v>
      </c>
      <c r="G8" s="256" t="s">
        <v>1469</v>
      </c>
      <c r="H8" s="256" t="s">
        <v>1437</v>
      </c>
    </row>
    <row r="9" spans="1:8" ht="15.75" thickTop="1" x14ac:dyDescent="0.25">
      <c r="A9" s="234" t="s">
        <v>1432</v>
      </c>
      <c r="B9" s="398">
        <f>'YTD all yrs'!G18</f>
        <v>10.200767557784589</v>
      </c>
      <c r="C9" s="399">
        <f>'YTD - 2003 and newer'!G18</f>
        <v>11.226216003037328</v>
      </c>
      <c r="D9" s="400">
        <f>'2012 and newer - YTD'!G18</f>
        <v>11.979604313876868</v>
      </c>
      <c r="F9" s="398">
        <f>'YTD all yrs'!E20</f>
        <v>7.8625550963543338</v>
      </c>
      <c r="G9" s="399">
        <f>'YTD - 2003 and newer'!E20</f>
        <v>8.9475739215084058</v>
      </c>
      <c r="H9" s="400">
        <f>'2012 and newer - YTD'!E20</f>
        <v>10.066334456787143</v>
      </c>
    </row>
    <row r="10" spans="1:8" x14ac:dyDescent="0.25">
      <c r="A10" s="234" t="s">
        <v>1434</v>
      </c>
      <c r="B10" s="401">
        <f>'Last 12 Months all yrs'!G18</f>
        <v>8.8333945263740965</v>
      </c>
      <c r="C10" s="397">
        <f>'Last 12 Months - 2003 and newer'!G18</f>
        <v>10.262259214036424</v>
      </c>
      <c r="D10" s="402">
        <f>'2012 and newer - Last 12 Months'!G18</f>
        <v>11.354314782937285</v>
      </c>
      <c r="F10" s="401">
        <f>'Last 12 Months all yrs'!E20</f>
        <v>6.7731548750691113</v>
      </c>
      <c r="G10" s="397">
        <f>'Last 12 Months - 2003 and newer'!E20</f>
        <v>8.121601581386674</v>
      </c>
      <c r="H10" s="402">
        <f>'2012 and newer - Last 12 Months'!E20</f>
        <v>9.8945688045477702</v>
      </c>
    </row>
    <row r="11" spans="1:8" ht="15.75" thickBot="1" x14ac:dyDescent="0.3">
      <c r="A11" s="234" t="s">
        <v>1435</v>
      </c>
      <c r="B11" s="403">
        <f>'18 Month Rolling all yrs'!G18</f>
        <v>8.0058696227474258</v>
      </c>
      <c r="C11" s="404">
        <f>'18 Month Rolling - 2003 and new'!G18</f>
        <v>10.00277727795631</v>
      </c>
      <c r="D11" s="405">
        <f>'2012 and newer - 18 month'!G18</f>
        <v>9.7851694061156955</v>
      </c>
      <c r="F11" s="403">
        <f>'18 Month Rolling all yrs'!E20</f>
        <v>5.8784437745474847</v>
      </c>
      <c r="G11" s="404">
        <f>'18 Month Rolling - 2003 and new'!E20</f>
        <v>7.8981336230747692</v>
      </c>
      <c r="H11" s="405">
        <f>'2012 and newer - 18 month'!E20</f>
        <v>8.7249734829344074</v>
      </c>
    </row>
    <row r="12" spans="1:8" ht="15.75" thickTop="1" x14ac:dyDescent="0.25"/>
    <row r="14" spans="1:8" ht="125.1" customHeight="1" x14ac:dyDescent="0.25">
      <c r="A14" s="446" t="s">
        <v>1470</v>
      </c>
      <c r="B14" s="446"/>
      <c r="C14" s="446"/>
      <c r="D14" s="446"/>
      <c r="E14" s="446"/>
      <c r="F14" s="446"/>
      <c r="G14" s="446"/>
      <c r="H14" s="446"/>
    </row>
    <row r="17" spans="1:11" x14ac:dyDescent="0.25">
      <c r="A17" s="234"/>
    </row>
    <row r="18" spans="1:11" x14ac:dyDescent="0.25">
      <c r="C18" s="309"/>
      <c r="D18" s="448"/>
      <c r="E18" s="448"/>
    </row>
    <row r="19" spans="1:11" x14ac:dyDescent="0.25">
      <c r="C19" s="310"/>
      <c r="D19" s="303"/>
      <c r="E19" s="303"/>
      <c r="F19" s="310"/>
    </row>
    <row r="20" spans="1:11" x14ac:dyDescent="0.25">
      <c r="C20" s="310"/>
      <c r="D20" s="303"/>
      <c r="E20" s="303"/>
      <c r="F20" s="310"/>
      <c r="G20" s="310"/>
    </row>
    <row r="21" spans="1:11" x14ac:dyDescent="0.25">
      <c r="C21" s="310"/>
      <c r="D21" s="303"/>
      <c r="E21" s="303"/>
      <c r="F21" s="310"/>
    </row>
    <row r="22" spans="1:11" x14ac:dyDescent="0.25">
      <c r="A22" s="233"/>
      <c r="B22" s="233"/>
      <c r="C22" s="281"/>
      <c r="D22" s="379"/>
      <c r="E22" s="379"/>
      <c r="F22" s="281"/>
      <c r="G22" s="233"/>
      <c r="H22" s="233"/>
      <c r="I22" s="233"/>
      <c r="J22" s="233"/>
      <c r="K22" s="233"/>
    </row>
    <row r="23" spans="1:11" x14ac:dyDescent="0.25">
      <c r="A23" s="233"/>
      <c r="B23" s="233"/>
      <c r="C23" s="281"/>
      <c r="D23" s="379"/>
      <c r="E23" s="379"/>
      <c r="F23" s="281"/>
      <c r="G23" s="233"/>
      <c r="H23" s="233"/>
      <c r="I23" s="233"/>
      <c r="J23" s="233"/>
      <c r="K23" s="233"/>
    </row>
    <row r="24" spans="1:11" x14ac:dyDescent="0.25">
      <c r="A24" s="233"/>
      <c r="B24" s="233"/>
      <c r="C24" s="281"/>
      <c r="D24" s="379"/>
      <c r="E24" s="379"/>
      <c r="F24" s="281"/>
      <c r="G24" s="233"/>
      <c r="H24" s="233"/>
      <c r="I24" s="233"/>
      <c r="J24" s="233"/>
      <c r="K24" s="233"/>
    </row>
    <row r="25" spans="1:11" x14ac:dyDescent="0.25">
      <c r="A25" s="233"/>
      <c r="B25" s="233"/>
      <c r="C25" s="233"/>
      <c r="D25" s="379"/>
      <c r="E25" s="379"/>
      <c r="F25" s="233"/>
      <c r="G25" s="233"/>
      <c r="H25" s="233"/>
      <c r="I25" s="233"/>
      <c r="J25" s="233"/>
      <c r="K25" s="233"/>
    </row>
    <row r="26" spans="1:11" x14ac:dyDescent="0.25">
      <c r="A26" s="315"/>
      <c r="B26" s="233"/>
      <c r="C26" s="233"/>
      <c r="D26" s="233"/>
      <c r="E26" s="315"/>
      <c r="F26" s="233"/>
      <c r="G26" s="233"/>
      <c r="H26" s="233"/>
      <c r="I26" s="233"/>
      <c r="J26" s="233"/>
      <c r="K26" s="233"/>
    </row>
    <row r="27" spans="1:11" x14ac:dyDescent="0.25">
      <c r="A27" s="233"/>
      <c r="B27" s="233"/>
      <c r="C27" s="281"/>
      <c r="D27" s="233"/>
      <c r="E27" s="443"/>
      <c r="F27" s="443"/>
      <c r="G27" s="233"/>
      <c r="H27" s="233"/>
      <c r="I27" s="233"/>
      <c r="J27" s="233"/>
      <c r="K27" s="233"/>
    </row>
    <row r="28" spans="1:11" ht="30" customHeight="1" x14ac:dyDescent="0.25">
      <c r="A28" s="447"/>
      <c r="B28" s="447"/>
      <c r="C28" s="281"/>
      <c r="D28" s="233"/>
      <c r="E28" s="441"/>
      <c r="F28" s="441"/>
      <c r="G28" s="442"/>
      <c r="H28" s="442"/>
      <c r="I28" s="233"/>
      <c r="J28" s="233"/>
      <c r="K28" s="233"/>
    </row>
    <row r="29" spans="1:11" ht="45" customHeight="1" x14ac:dyDescent="0.25">
      <c r="A29" s="447"/>
      <c r="B29" s="447"/>
      <c r="C29" s="281"/>
      <c r="D29" s="233"/>
      <c r="E29" s="441"/>
      <c r="F29" s="441"/>
      <c r="G29" s="442"/>
      <c r="H29" s="442"/>
      <c r="I29" s="233"/>
      <c r="J29" s="233"/>
      <c r="K29" s="233"/>
    </row>
    <row r="30" spans="1:11" ht="20.25" customHeight="1" x14ac:dyDescent="0.25">
      <c r="A30" s="392"/>
      <c r="B30" s="392"/>
      <c r="C30" s="281"/>
      <c r="D30" s="233"/>
      <c r="E30" s="443"/>
      <c r="F30" s="443"/>
      <c r="G30" s="393"/>
      <c r="H30" s="393"/>
      <c r="I30" s="233"/>
      <c r="J30" s="233"/>
      <c r="K30" s="233"/>
    </row>
    <row r="31" spans="1:11" x14ac:dyDescent="0.25">
      <c r="A31" s="233"/>
      <c r="B31" s="233"/>
      <c r="C31" s="394"/>
      <c r="D31" s="233"/>
      <c r="E31" s="444"/>
      <c r="F31" s="444"/>
      <c r="G31" s="438"/>
      <c r="H31" s="438"/>
      <c r="I31" s="438"/>
      <c r="J31" s="438"/>
      <c r="K31" s="233"/>
    </row>
    <row r="32" spans="1:11" x14ac:dyDescent="0.25">
      <c r="A32" s="233"/>
      <c r="B32" s="233"/>
      <c r="C32" s="281"/>
      <c r="D32" s="233"/>
      <c r="E32" s="440"/>
      <c r="F32" s="440"/>
      <c r="G32" s="439"/>
      <c r="H32" s="439"/>
      <c r="I32" s="439"/>
      <c r="J32" s="439"/>
      <c r="K32" s="233"/>
    </row>
    <row r="33" spans="1:11" x14ac:dyDescent="0.25">
      <c r="A33" s="233"/>
      <c r="B33" s="233"/>
      <c r="C33" s="233"/>
      <c r="D33" s="233"/>
      <c r="E33" s="233"/>
      <c r="F33" s="233"/>
      <c r="G33" s="438"/>
      <c r="H33" s="438"/>
      <c r="I33" s="438"/>
      <c r="J33" s="438"/>
      <c r="K33" s="233"/>
    </row>
    <row r="34" spans="1:11" x14ac:dyDescent="0.25">
      <c r="A34" s="233"/>
      <c r="B34" s="233"/>
      <c r="C34" s="233"/>
      <c r="D34" s="233"/>
      <c r="E34" s="233"/>
      <c r="F34" s="233"/>
      <c r="G34" s="233"/>
      <c r="H34" s="233"/>
      <c r="I34" s="233"/>
      <c r="J34" s="233"/>
      <c r="K34" s="233"/>
    </row>
    <row r="35" spans="1:11" x14ac:dyDescent="0.25">
      <c r="A35" s="233"/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x14ac:dyDescent="0.25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</row>
    <row r="37" spans="1:11" x14ac:dyDescent="0.25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</row>
    <row r="38" spans="1:11" x14ac:dyDescent="0.25">
      <c r="A38" s="233"/>
      <c r="B38" s="233"/>
      <c r="C38" s="233"/>
      <c r="D38" s="233"/>
      <c r="E38" s="233"/>
      <c r="F38" s="233"/>
      <c r="G38" s="233"/>
      <c r="H38" s="233"/>
      <c r="I38" s="233"/>
      <c r="J38" s="233"/>
      <c r="K38" s="233"/>
    </row>
  </sheetData>
  <mergeCells count="16">
    <mergeCell ref="A1:H1"/>
    <mergeCell ref="G31:J31"/>
    <mergeCell ref="G33:J33"/>
    <mergeCell ref="G32:J32"/>
    <mergeCell ref="E32:F32"/>
    <mergeCell ref="E28:F29"/>
    <mergeCell ref="G28:H29"/>
    <mergeCell ref="E27:F27"/>
    <mergeCell ref="E31:F31"/>
    <mergeCell ref="E30:F30"/>
    <mergeCell ref="B7:D7"/>
    <mergeCell ref="F7:H7"/>
    <mergeCell ref="A14:H14"/>
    <mergeCell ref="A28:B28"/>
    <mergeCell ref="A29:B29"/>
    <mergeCell ref="D18:E18"/>
  </mergeCells>
  <dataValidations count="1">
    <dataValidation type="list" allowBlank="1" showInputMessage="1" showErrorMessage="1" sqref="B4">
      <formula1>"Base,Alternate"</formula1>
    </dataValidation>
  </dataValidation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L39"/>
  <sheetViews>
    <sheetView zoomScale="170" zoomScaleNormal="170" workbookViewId="0">
      <selection activeCell="C19" sqref="C19"/>
    </sheetView>
  </sheetViews>
  <sheetFormatPr defaultColWidth="9.140625" defaultRowHeight="15" x14ac:dyDescent="0.25"/>
  <cols>
    <col min="1" max="1" width="19.7109375" style="229" customWidth="1"/>
    <col min="2" max="2" width="20.140625" style="229" bestFit="1" customWidth="1"/>
    <col min="3" max="3" width="15.5703125" style="229" bestFit="1" customWidth="1"/>
    <col min="4" max="4" width="20" style="229" customWidth="1"/>
    <col min="5" max="5" width="13.28515625" style="229" bestFit="1" customWidth="1"/>
    <col min="6" max="6" width="11.28515625" style="229" bestFit="1" customWidth="1"/>
    <col min="7" max="7" width="17" style="229" bestFit="1" customWidth="1"/>
    <col min="8" max="8" width="7.7109375" style="229" bestFit="1" customWidth="1"/>
    <col min="9" max="9" width="15.5703125" style="229" bestFit="1" customWidth="1"/>
    <col min="10" max="10" width="6.5703125" style="229" bestFit="1" customWidth="1"/>
    <col min="11" max="11" width="13.28515625" style="229" bestFit="1" customWidth="1"/>
    <col min="12" max="12" width="11.28515625" style="229" bestFit="1" customWidth="1"/>
    <col min="13" max="13" width="17" style="229" bestFit="1" customWidth="1"/>
    <col min="14" max="14" width="7.7109375" style="229" bestFit="1" customWidth="1"/>
    <col min="15" max="15" width="15.5703125" style="229" bestFit="1" customWidth="1"/>
    <col min="16" max="16" width="6.5703125" style="229" bestFit="1" customWidth="1"/>
    <col min="17" max="17" width="13.28515625" style="229" bestFit="1" customWidth="1"/>
    <col min="18" max="18" width="11.28515625" style="229" bestFit="1" customWidth="1"/>
    <col min="19" max="16384" width="9.140625" style="229"/>
  </cols>
  <sheetData>
    <row r="1" spans="1:7" ht="15.75" x14ac:dyDescent="0.25">
      <c r="A1" s="449" t="s">
        <v>1522</v>
      </c>
      <c r="B1" s="449"/>
      <c r="C1" s="449"/>
      <c r="D1" s="449"/>
      <c r="E1" s="449"/>
      <c r="F1" s="449"/>
    </row>
    <row r="3" spans="1:7" ht="26.25" x14ac:dyDescent="0.25">
      <c r="A3" s="274"/>
      <c r="B3" s="275"/>
      <c r="C3" s="276" t="s">
        <v>1491</v>
      </c>
      <c r="D3" s="409" t="s">
        <v>1538</v>
      </c>
      <c r="E3" s="276" t="s">
        <v>1493</v>
      </c>
      <c r="F3" s="276" t="s">
        <v>1494</v>
      </c>
    </row>
    <row r="4" spans="1:7" x14ac:dyDescent="0.25">
      <c r="A4" s="277" t="s">
        <v>1495</v>
      </c>
      <c r="B4" s="278" t="s">
        <v>1424</v>
      </c>
      <c r="C4" s="275"/>
      <c r="D4" s="275"/>
      <c r="E4" s="279"/>
      <c r="F4" s="280"/>
    </row>
    <row r="5" spans="1:7" x14ac:dyDescent="0.25">
      <c r="A5" s="291" t="s">
        <v>1498</v>
      </c>
      <c r="B5" s="292">
        <v>61150</v>
      </c>
      <c r="C5" s="293">
        <f>B5/12</f>
        <v>5095.833333333333</v>
      </c>
      <c r="D5" s="292">
        <f>C5*$B$14</f>
        <v>1681.625</v>
      </c>
      <c r="E5" s="292">
        <f>-(PV(($C$13/12),360,(D5*$B$15)))</f>
        <v>299553.62237119232</v>
      </c>
      <c r="F5" s="292">
        <f>E5/(1-$B$16)</f>
        <v>315319.60249599192</v>
      </c>
    </row>
    <row r="6" spans="1:7" x14ac:dyDescent="0.25">
      <c r="A6" s="277" t="s">
        <v>1496</v>
      </c>
      <c r="B6" s="278" t="s">
        <v>1506</v>
      </c>
      <c r="C6" s="275"/>
      <c r="D6" s="275"/>
      <c r="E6" s="279"/>
      <c r="F6" s="280"/>
    </row>
    <row r="7" spans="1:7" x14ac:dyDescent="0.25">
      <c r="A7" s="288" t="s">
        <v>1498</v>
      </c>
      <c r="B7" s="289">
        <v>56158.333333333328</v>
      </c>
      <c r="C7" s="290">
        <f>B7/12</f>
        <v>4679.8611111111104</v>
      </c>
      <c r="D7" s="289">
        <f>C7*$B$14</f>
        <v>1544.3541666666665</v>
      </c>
      <c r="E7" s="289">
        <f>-(PV(($C$13/12),360,(D7*$B$15)))</f>
        <v>275101.09854994074</v>
      </c>
      <c r="F7" s="289">
        <f>E7/(1-$B$16)</f>
        <v>289580.10373677971</v>
      </c>
    </row>
    <row r="8" spans="1:7" x14ac:dyDescent="0.25">
      <c r="A8" s="277" t="s">
        <v>1497</v>
      </c>
      <c r="B8" s="278" t="s">
        <v>1507</v>
      </c>
      <c r="C8" s="275"/>
      <c r="D8" s="275"/>
      <c r="E8" s="283"/>
      <c r="F8" s="280"/>
    </row>
    <row r="9" spans="1:7" x14ac:dyDescent="0.25">
      <c r="A9" s="294" t="s">
        <v>1498</v>
      </c>
      <c r="B9" s="295">
        <v>46175</v>
      </c>
      <c r="C9" s="296">
        <f>B9/12</f>
        <v>3847.9166666666665</v>
      </c>
      <c r="D9" s="295">
        <f>C9*$B$14</f>
        <v>1269.8125</v>
      </c>
      <c r="E9" s="295">
        <f>-(PV(($C$13/12),360,(D9*$B$15)))</f>
        <v>226196.05090743757</v>
      </c>
      <c r="F9" s="295">
        <f>E9/(1-$B$16)</f>
        <v>238101.10621835536</v>
      </c>
      <c r="G9" s="408"/>
    </row>
    <row r="12" spans="1:7" x14ac:dyDescent="0.25">
      <c r="A12" s="284" t="s">
        <v>1213</v>
      </c>
      <c r="B12" s="285" t="s">
        <v>1499</v>
      </c>
      <c r="C12" s="286"/>
    </row>
    <row r="13" spans="1:7" x14ac:dyDescent="0.25">
      <c r="A13" s="286" t="s">
        <v>1500</v>
      </c>
      <c r="B13" s="383" t="s">
        <v>1501</v>
      </c>
      <c r="C13" s="297">
        <f>4.07%+0.5%</f>
        <v>4.5699999999999998E-2</v>
      </c>
    </row>
    <row r="14" spans="1:7" x14ac:dyDescent="0.25">
      <c r="A14" s="286" t="s">
        <v>1502</v>
      </c>
      <c r="B14" s="298">
        <f>'Gap Summary'!B3</f>
        <v>0.33</v>
      </c>
      <c r="C14" s="299" t="s">
        <v>1503</v>
      </c>
    </row>
    <row r="15" spans="1:7" x14ac:dyDescent="0.25">
      <c r="A15" s="286" t="s">
        <v>1504</v>
      </c>
      <c r="B15" s="298">
        <v>0.91</v>
      </c>
      <c r="C15" s="299"/>
      <c r="D15" s="229" t="s">
        <v>1537</v>
      </c>
    </row>
    <row r="16" spans="1:7" x14ac:dyDescent="0.25">
      <c r="A16" s="286" t="s">
        <v>1505</v>
      </c>
      <c r="B16" s="384">
        <v>0.05</v>
      </c>
      <c r="C16" s="364"/>
    </row>
    <row r="18" spans="1:12" x14ac:dyDescent="0.25">
      <c r="A18" s="287" t="s">
        <v>1523</v>
      </c>
    </row>
    <row r="19" spans="1:12" x14ac:dyDescent="0.25">
      <c r="A19" s="286" t="s">
        <v>1524</v>
      </c>
      <c r="B19" s="229" t="s">
        <v>1532</v>
      </c>
    </row>
    <row r="20" spans="1:12" x14ac:dyDescent="0.25">
      <c r="A20" s="286" t="s">
        <v>1525</v>
      </c>
      <c r="B20" s="229" t="s">
        <v>1526</v>
      </c>
      <c r="C20" s="229" t="s">
        <v>1533</v>
      </c>
      <c r="I20" s="233"/>
    </row>
    <row r="24" spans="1:12" x14ac:dyDescent="0.25">
      <c r="A24" s="233"/>
      <c r="B24" s="233"/>
      <c r="C24" s="233"/>
      <c r="D24" s="233"/>
      <c r="E24" s="233"/>
      <c r="F24" s="233"/>
      <c r="G24" s="233"/>
      <c r="H24" s="233"/>
      <c r="I24" s="233"/>
      <c r="J24" s="233"/>
      <c r="K24" s="233"/>
      <c r="L24" s="233"/>
    </row>
    <row r="25" spans="1:12" x14ac:dyDescent="0.25">
      <c r="A25" s="233"/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</row>
    <row r="26" spans="1:12" x14ac:dyDescent="0.25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</row>
    <row r="27" spans="1:12" x14ac:dyDescent="0.25">
      <c r="A27" s="233"/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</row>
    <row r="28" spans="1:12" x14ac:dyDescent="0.25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1:12" x14ac:dyDescent="0.25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</row>
    <row r="30" spans="1:12" x14ac:dyDescent="0.25">
      <c r="A30" s="233"/>
      <c r="B30" s="233"/>
      <c r="C30" s="233"/>
      <c r="D30" s="233"/>
      <c r="E30" s="233"/>
      <c r="F30" s="233"/>
      <c r="G30" s="438"/>
      <c r="H30" s="438"/>
      <c r="I30" s="438"/>
      <c r="J30" s="438"/>
      <c r="K30" s="233"/>
      <c r="L30" s="233"/>
    </row>
    <row r="31" spans="1:12" x14ac:dyDescent="0.25">
      <c r="A31" s="233"/>
      <c r="B31" s="233"/>
      <c r="C31" s="233"/>
      <c r="D31" s="233"/>
      <c r="E31" s="233"/>
      <c r="F31" s="233"/>
      <c r="G31" s="439"/>
      <c r="H31" s="439"/>
      <c r="I31" s="439"/>
      <c r="J31" s="439"/>
      <c r="K31" s="233"/>
      <c r="L31" s="233"/>
    </row>
    <row r="32" spans="1:12" x14ac:dyDescent="0.25">
      <c r="A32" s="233"/>
      <c r="B32" s="233"/>
      <c r="C32" s="233"/>
      <c r="D32" s="233"/>
      <c r="E32" s="233"/>
      <c r="F32" s="233"/>
      <c r="G32" s="438"/>
      <c r="H32" s="438"/>
      <c r="I32" s="438"/>
      <c r="J32" s="438"/>
      <c r="K32" s="233"/>
      <c r="L32" s="233"/>
    </row>
    <row r="33" spans="1:12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</row>
    <row r="34" spans="1:12" x14ac:dyDescent="0.25">
      <c r="A34" s="233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</row>
    <row r="35" spans="1:12" x14ac:dyDescent="0.25">
      <c r="A35" s="233"/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</row>
    <row r="36" spans="1:12" x14ac:dyDescent="0.25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</row>
    <row r="37" spans="1:12" x14ac:dyDescent="0.25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</row>
    <row r="38" spans="1:12" x14ac:dyDescent="0.25">
      <c r="A38" s="233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</row>
    <row r="39" spans="1:12" x14ac:dyDescent="0.25">
      <c r="A39" s="233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</row>
  </sheetData>
  <mergeCells count="4">
    <mergeCell ref="A1:F1"/>
    <mergeCell ref="G30:J30"/>
    <mergeCell ref="G32:J32"/>
    <mergeCell ref="G31:J3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46"/>
  <sheetViews>
    <sheetView zoomScale="170" zoomScaleNormal="170" workbookViewId="0">
      <selection activeCell="B22" sqref="B22"/>
    </sheetView>
  </sheetViews>
  <sheetFormatPr defaultColWidth="9.140625" defaultRowHeight="15" x14ac:dyDescent="0.25"/>
  <cols>
    <col min="1" max="1" width="22.28515625" style="229" customWidth="1"/>
    <col min="2" max="2" width="20.140625" style="229" bestFit="1" customWidth="1"/>
    <col min="3" max="3" width="15.5703125" style="229" bestFit="1" customWidth="1"/>
    <col min="4" max="4" width="20" style="229" customWidth="1"/>
    <col min="5" max="5" width="8.5703125" style="229" customWidth="1"/>
    <col min="6" max="6" width="14" style="229" customWidth="1"/>
    <col min="7" max="7" width="13.28515625" style="229" bestFit="1" customWidth="1"/>
    <col min="8" max="8" width="11.28515625" style="229" bestFit="1" customWidth="1"/>
    <col min="9" max="9" width="17" style="229" bestFit="1" customWidth="1"/>
    <col min="10" max="10" width="7.7109375" style="229" bestFit="1" customWidth="1"/>
    <col min="11" max="11" width="15.5703125" style="229" bestFit="1" customWidth="1"/>
    <col min="12" max="12" width="6.5703125" style="229" bestFit="1" customWidth="1"/>
    <col min="13" max="13" width="13.28515625" style="229" bestFit="1" customWidth="1"/>
    <col min="14" max="14" width="11.28515625" style="229" bestFit="1" customWidth="1"/>
    <col min="15" max="15" width="17" style="229" bestFit="1" customWidth="1"/>
    <col min="16" max="16" width="7.7109375" style="229" bestFit="1" customWidth="1"/>
    <col min="17" max="17" width="15.5703125" style="229" bestFit="1" customWidth="1"/>
    <col min="18" max="18" width="6.5703125" style="229" bestFit="1" customWidth="1"/>
    <col min="19" max="19" width="13.28515625" style="229" bestFit="1" customWidth="1"/>
    <col min="20" max="20" width="11.28515625" style="229" bestFit="1" customWidth="1"/>
    <col min="21" max="16384" width="9.140625" style="229"/>
  </cols>
  <sheetData>
    <row r="1" spans="1:8" ht="15.75" x14ac:dyDescent="0.25">
      <c r="A1" s="449" t="s">
        <v>1522</v>
      </c>
      <c r="B1" s="449"/>
      <c r="C1" s="449"/>
      <c r="D1" s="449"/>
      <c r="E1" s="449"/>
      <c r="F1" s="449"/>
      <c r="G1" s="449"/>
      <c r="H1" s="449"/>
    </row>
    <row r="3" spans="1:8" ht="26.25" x14ac:dyDescent="0.25">
      <c r="A3" s="274"/>
      <c r="B3" s="406"/>
      <c r="C3" s="276" t="s">
        <v>1491</v>
      </c>
      <c r="D3" s="409" t="s">
        <v>1538</v>
      </c>
      <c r="E3" s="409" t="s">
        <v>1544</v>
      </c>
      <c r="F3" s="409" t="s">
        <v>1492</v>
      </c>
      <c r="G3" s="276" t="s">
        <v>1493</v>
      </c>
      <c r="H3" s="276" t="s">
        <v>1494</v>
      </c>
    </row>
    <row r="4" spans="1:8" x14ac:dyDescent="0.25">
      <c r="A4" s="277" t="s">
        <v>1539</v>
      </c>
      <c r="B4" s="278" t="s">
        <v>1424</v>
      </c>
      <c r="C4" s="406"/>
      <c r="D4" s="406"/>
      <c r="E4" s="406"/>
      <c r="F4" s="406"/>
      <c r="G4" s="279"/>
      <c r="H4" s="280"/>
    </row>
    <row r="5" spans="1:8" x14ac:dyDescent="0.25">
      <c r="A5" s="291" t="s">
        <v>1543</v>
      </c>
      <c r="B5" s="292">
        <v>61150</v>
      </c>
      <c r="C5" s="292">
        <f>B5/12</f>
        <v>5095.833333333333</v>
      </c>
      <c r="D5" s="292">
        <f>C5*$B$21</f>
        <v>1681.625</v>
      </c>
      <c r="E5" s="292">
        <f>100</f>
        <v>100</v>
      </c>
      <c r="F5" s="292">
        <f>D5-E5</f>
        <v>1581.625</v>
      </c>
      <c r="G5" s="292">
        <f>-(PV(($C$20/12),360,(F5*$B$22)))</f>
        <v>281740.27977868851</v>
      </c>
      <c r="H5" s="292">
        <f>G5/(1-$B$23)</f>
        <v>296568.71555651422</v>
      </c>
    </row>
    <row r="6" spans="1:8" x14ac:dyDescent="0.25">
      <c r="A6" s="277" t="s">
        <v>1539</v>
      </c>
      <c r="B6" s="278" t="s">
        <v>1507</v>
      </c>
      <c r="C6" s="410"/>
      <c r="D6" s="406"/>
      <c r="E6" s="406"/>
      <c r="F6" s="406"/>
      <c r="G6" s="283"/>
      <c r="H6" s="280"/>
    </row>
    <row r="7" spans="1:8" x14ac:dyDescent="0.25">
      <c r="A7" s="294" t="str">
        <f>A5</f>
        <v>2.5 persons</v>
      </c>
      <c r="B7" s="295">
        <f>B5</f>
        <v>61150</v>
      </c>
      <c r="C7" s="295">
        <f>B7/12</f>
        <v>5095.833333333333</v>
      </c>
      <c r="D7" s="295">
        <f>C7*$B$21</f>
        <v>1681.625</v>
      </c>
      <c r="E7" s="295">
        <f>300</f>
        <v>300</v>
      </c>
      <c r="F7" s="295">
        <f>D7-E7</f>
        <v>1381.625</v>
      </c>
      <c r="G7" s="295">
        <f>-(PV(($C$20/12),360,(F7*$B$22)))</f>
        <v>246113.59459368087</v>
      </c>
      <c r="H7" s="295">
        <f>G7/(1-$B$23)</f>
        <v>259066.94167755882</v>
      </c>
    </row>
    <row r="8" spans="1:8" x14ac:dyDescent="0.25">
      <c r="A8" s="277" t="s">
        <v>1542</v>
      </c>
      <c r="B8" s="278" t="s">
        <v>1424</v>
      </c>
      <c r="C8" s="410"/>
      <c r="D8" s="406"/>
      <c r="E8" s="406"/>
      <c r="F8" s="406"/>
      <c r="G8" s="279"/>
      <c r="H8" s="280"/>
    </row>
    <row r="9" spans="1:8" x14ac:dyDescent="0.25">
      <c r="A9" s="291" t="s">
        <v>1543</v>
      </c>
      <c r="B9" s="292">
        <v>92350</v>
      </c>
      <c r="C9" s="292">
        <f>B9/12</f>
        <v>7695.833333333333</v>
      </c>
      <c r="D9" s="292">
        <f>C9*$B$21</f>
        <v>2539.625</v>
      </c>
      <c r="E9" s="292">
        <f>100</f>
        <v>100</v>
      </c>
      <c r="F9" s="292">
        <f>D9-E9</f>
        <v>2439.625</v>
      </c>
      <c r="G9" s="292">
        <f>-(PV(($C$20/12),360,(F9*$B$22)))</f>
        <v>434578.75922237133</v>
      </c>
      <c r="H9" s="292">
        <f>G9/(1-$B$23)</f>
        <v>457451.32549723302</v>
      </c>
    </row>
    <row r="10" spans="1:8" x14ac:dyDescent="0.25">
      <c r="A10" s="277" t="s">
        <v>1542</v>
      </c>
      <c r="B10" s="278" t="s">
        <v>1507</v>
      </c>
      <c r="C10" s="410"/>
      <c r="D10" s="406"/>
      <c r="E10" s="406"/>
      <c r="F10" s="406"/>
      <c r="G10" s="283"/>
      <c r="H10" s="280"/>
    </row>
    <row r="11" spans="1:8" x14ac:dyDescent="0.25">
      <c r="A11" s="294" t="str">
        <f>A9</f>
        <v>2.5 persons</v>
      </c>
      <c r="B11" s="295">
        <f>B9</f>
        <v>92350</v>
      </c>
      <c r="C11" s="295">
        <f>B11/12</f>
        <v>7695.833333333333</v>
      </c>
      <c r="D11" s="295">
        <f>C11*$B$21</f>
        <v>2539.625</v>
      </c>
      <c r="E11" s="295">
        <f>300</f>
        <v>300</v>
      </c>
      <c r="F11" s="295">
        <f>D11-E11</f>
        <v>2239.625</v>
      </c>
      <c r="G11" s="295">
        <f>-(PV(($C$20/12),360,(F11*$B$22)))</f>
        <v>398952.07403736369</v>
      </c>
      <c r="H11" s="295">
        <f>G11/(1-$B$23)</f>
        <v>419949.55161827762</v>
      </c>
    </row>
    <row r="12" spans="1:8" x14ac:dyDescent="0.25">
      <c r="A12" s="277" t="s">
        <v>1541</v>
      </c>
      <c r="B12" s="278" t="s">
        <v>1424</v>
      </c>
      <c r="C12" s="410"/>
      <c r="D12" s="406"/>
      <c r="E12" s="406"/>
      <c r="F12" s="406"/>
      <c r="G12" s="279"/>
      <c r="H12" s="280"/>
    </row>
    <row r="13" spans="1:8" x14ac:dyDescent="0.25">
      <c r="A13" s="291" t="s">
        <v>1543</v>
      </c>
      <c r="B13" s="292">
        <v>110820</v>
      </c>
      <c r="C13" s="292">
        <f>B13/12</f>
        <v>9235</v>
      </c>
      <c r="D13" s="292">
        <f>C13*$B$21</f>
        <v>3047.55</v>
      </c>
      <c r="E13" s="292">
        <f>100</f>
        <v>100</v>
      </c>
      <c r="F13" s="292">
        <f>D13-E13</f>
        <v>2947.55</v>
      </c>
      <c r="G13" s="292">
        <f>-(PV(($C$20/12),360,(F13*$B$22)))</f>
        <v>525057.17958534637</v>
      </c>
      <c r="H13" s="292">
        <f>G13/(1-$B$23)</f>
        <v>552691.76798457513</v>
      </c>
    </row>
    <row r="14" spans="1:8" x14ac:dyDescent="0.25">
      <c r="A14" s="277" t="s">
        <v>1541</v>
      </c>
      <c r="B14" s="278" t="s">
        <v>1507</v>
      </c>
      <c r="C14" s="410"/>
      <c r="D14" s="406"/>
      <c r="E14" s="406"/>
      <c r="F14" s="406"/>
      <c r="G14" s="283"/>
      <c r="H14" s="280"/>
    </row>
    <row r="15" spans="1:8" x14ac:dyDescent="0.25">
      <c r="A15" s="294" t="str">
        <f>A13</f>
        <v>2.5 persons</v>
      </c>
      <c r="B15" s="295">
        <f>B13</f>
        <v>110820</v>
      </c>
      <c r="C15" s="295">
        <f>B15/12</f>
        <v>9235</v>
      </c>
      <c r="D15" s="295">
        <f>C15*$B$21</f>
        <v>3047.55</v>
      </c>
      <c r="E15" s="295">
        <f>300</f>
        <v>300</v>
      </c>
      <c r="F15" s="295">
        <f>D15-E15</f>
        <v>2747.55</v>
      </c>
      <c r="G15" s="295">
        <f>-(PV(($C$20/12),360,(F15*$B$22)))</f>
        <v>489430.49440033868</v>
      </c>
      <c r="H15" s="295">
        <f>G15/(1-$B$23)</f>
        <v>515189.99410561967</v>
      </c>
    </row>
    <row r="19" spans="1:14" x14ac:dyDescent="0.25">
      <c r="A19" s="284" t="s">
        <v>1213</v>
      </c>
      <c r="B19" s="285" t="s">
        <v>1499</v>
      </c>
      <c r="C19" s="286"/>
    </row>
    <row r="20" spans="1:14" x14ac:dyDescent="0.25">
      <c r="A20" s="286" t="s">
        <v>1500</v>
      </c>
      <c r="B20" s="383" t="s">
        <v>1501</v>
      </c>
      <c r="C20" s="297">
        <f>4.07%+0.5%</f>
        <v>4.5699999999999998E-2</v>
      </c>
    </row>
    <row r="21" spans="1:14" x14ac:dyDescent="0.25">
      <c r="A21" s="286" t="s">
        <v>1502</v>
      </c>
      <c r="B21" s="431">
        <f>'Gap Summary'!B3</f>
        <v>0.33</v>
      </c>
      <c r="C21" s="299" t="s">
        <v>1503</v>
      </c>
    </row>
    <row r="22" spans="1:14" x14ac:dyDescent="0.25">
      <c r="A22" s="286" t="s">
        <v>1504</v>
      </c>
      <c r="B22" s="298">
        <v>0.91</v>
      </c>
      <c r="C22" s="299"/>
      <c r="D22" s="229" t="s">
        <v>1537</v>
      </c>
    </row>
    <row r="23" spans="1:14" x14ac:dyDescent="0.25">
      <c r="A23" s="286" t="s">
        <v>1540</v>
      </c>
      <c r="B23" s="384">
        <v>0.05</v>
      </c>
      <c r="C23" s="364"/>
    </row>
    <row r="25" spans="1:14" x14ac:dyDescent="0.25">
      <c r="A25" s="287" t="s">
        <v>1523</v>
      </c>
    </row>
    <row r="26" spans="1:14" x14ac:dyDescent="0.25">
      <c r="A26" s="286" t="s">
        <v>1525</v>
      </c>
      <c r="B26" s="229" t="s">
        <v>1547</v>
      </c>
      <c r="C26" s="229" t="s">
        <v>1548</v>
      </c>
      <c r="K26" s="233"/>
    </row>
    <row r="27" spans="1:14" x14ac:dyDescent="0.25">
      <c r="A27" s="286"/>
      <c r="K27" s="233"/>
    </row>
    <row r="28" spans="1:14" ht="30" x14ac:dyDescent="0.25">
      <c r="A28" s="411" t="s">
        <v>1546</v>
      </c>
      <c r="B28" s="386">
        <f>D5+220</f>
        <v>1901.625</v>
      </c>
    </row>
    <row r="29" spans="1:14" ht="30" x14ac:dyDescent="0.25">
      <c r="A29" s="411" t="s">
        <v>1545</v>
      </c>
      <c r="B29" s="412">
        <f>B28/C5</f>
        <v>0.37317252657399841</v>
      </c>
    </row>
    <row r="31" spans="1:14" x14ac:dyDescent="0.25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</row>
    <row r="32" spans="1:14" x14ac:dyDescent="0.25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</row>
    <row r="33" spans="1:14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</row>
    <row r="34" spans="1:14" x14ac:dyDescent="0.25">
      <c r="A34" s="233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</row>
    <row r="35" spans="1:14" x14ac:dyDescent="0.25">
      <c r="A35" s="233"/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</row>
    <row r="36" spans="1:14" x14ac:dyDescent="0.25">
      <c r="A36" s="233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</row>
    <row r="37" spans="1:14" x14ac:dyDescent="0.25">
      <c r="A37" s="233"/>
      <c r="B37" s="233"/>
      <c r="C37" s="233"/>
      <c r="D37" s="233"/>
      <c r="E37" s="233"/>
      <c r="F37" s="233"/>
      <c r="G37" s="233"/>
      <c r="H37" s="233"/>
      <c r="I37" s="438"/>
      <c r="J37" s="438"/>
      <c r="K37" s="438"/>
      <c r="L37" s="438"/>
      <c r="M37" s="233"/>
      <c r="N37" s="233"/>
    </row>
    <row r="38" spans="1:14" x14ac:dyDescent="0.25">
      <c r="A38" s="233"/>
      <c r="B38" s="233"/>
      <c r="C38" s="233"/>
      <c r="D38" s="233"/>
      <c r="E38" s="233"/>
      <c r="F38" s="233"/>
      <c r="G38" s="233"/>
      <c r="H38" s="233"/>
      <c r="I38" s="439"/>
      <c r="J38" s="439"/>
      <c r="K38" s="439"/>
      <c r="L38" s="439"/>
      <c r="M38" s="233"/>
      <c r="N38" s="233"/>
    </row>
    <row r="39" spans="1:14" x14ac:dyDescent="0.25">
      <c r="A39" s="233"/>
      <c r="B39" s="233"/>
      <c r="C39" s="233"/>
      <c r="D39" s="233"/>
      <c r="E39" s="233"/>
      <c r="F39" s="233"/>
      <c r="G39" s="233"/>
      <c r="H39" s="233"/>
      <c r="I39" s="438"/>
      <c r="J39" s="438"/>
      <c r="K39" s="438"/>
      <c r="L39" s="438"/>
      <c r="M39" s="233"/>
      <c r="N39" s="233"/>
    </row>
    <row r="40" spans="1:14" x14ac:dyDescent="0.25">
      <c r="A40" s="233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</row>
    <row r="41" spans="1:14" x14ac:dyDescent="0.25">
      <c r="A41" s="233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</row>
    <row r="42" spans="1:14" x14ac:dyDescent="0.25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</row>
    <row r="43" spans="1:14" x14ac:dyDescent="0.25">
      <c r="A43" s="233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</row>
    <row r="44" spans="1:14" x14ac:dyDescent="0.25">
      <c r="A44" s="233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</row>
    <row r="45" spans="1:14" x14ac:dyDescent="0.25">
      <c r="A45" s="233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</row>
    <row r="46" spans="1:14" x14ac:dyDescent="0.25">
      <c r="A46" s="233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</row>
  </sheetData>
  <mergeCells count="4">
    <mergeCell ref="A1:H1"/>
    <mergeCell ref="I37:L37"/>
    <mergeCell ref="I38:L38"/>
    <mergeCell ref="I39:L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5"/>
  <sheetViews>
    <sheetView zoomScale="180" zoomScaleNormal="180" workbookViewId="0">
      <selection activeCell="D6" sqref="D6"/>
    </sheetView>
  </sheetViews>
  <sheetFormatPr defaultColWidth="9.140625" defaultRowHeight="15" x14ac:dyDescent="0.25"/>
  <cols>
    <col min="1" max="1" width="20.28515625" style="229" customWidth="1"/>
    <col min="2" max="2" width="36.85546875" style="229" customWidth="1"/>
    <col min="3" max="3" width="18" style="229" customWidth="1"/>
    <col min="4" max="4" width="9.140625" style="229" customWidth="1"/>
    <col min="5" max="5" width="13.5703125" style="229" bestFit="1" customWidth="1"/>
    <col min="6" max="6" width="13" style="229" customWidth="1"/>
    <col min="7" max="16384" width="9.140625" style="229"/>
  </cols>
  <sheetData>
    <row r="1" spans="1:6" ht="18.75" x14ac:dyDescent="0.3">
      <c r="A1" s="437" t="s">
        <v>1486</v>
      </c>
      <c r="B1" s="437"/>
      <c r="C1" s="437"/>
      <c r="D1" s="437"/>
      <c r="E1" s="437"/>
      <c r="F1" s="437"/>
    </row>
    <row r="2" spans="1:6" x14ac:dyDescent="0.25">
      <c r="A2" s="234"/>
      <c r="C2" s="331"/>
      <c r="F2" s="331"/>
    </row>
    <row r="3" spans="1:6" x14ac:dyDescent="0.25">
      <c r="A3" s="234" t="s">
        <v>1511</v>
      </c>
      <c r="C3" s="334" t="s">
        <v>1434</v>
      </c>
      <c r="F3" s="331"/>
    </row>
    <row r="4" spans="1:6" x14ac:dyDescent="0.25">
      <c r="A4" s="234" t="s">
        <v>1510</v>
      </c>
      <c r="C4" s="334" t="s">
        <v>1469</v>
      </c>
      <c r="F4" s="331"/>
    </row>
    <row r="5" spans="1:6" ht="15.75" thickBot="1" x14ac:dyDescent="0.3">
      <c r="A5" s="234" t="s">
        <v>1233</v>
      </c>
      <c r="C5" s="300">
        <f>INDEX('Gap Summary'!$F$8:$H$11,MATCH('Impact to Margins'!$C$3,'Gap Summary'!$A$8:$A$11,0),MATCH('Impact to Margins'!$C$4,'Gap Summary'!$F$8:$H$8,0))</f>
        <v>8.121601581386674</v>
      </c>
      <c r="F5" s="331"/>
    </row>
    <row r="6" spans="1:6" ht="15.75" thickTop="1" x14ac:dyDescent="0.25">
      <c r="A6" s="234"/>
      <c r="C6" s="382"/>
      <c r="F6" s="331"/>
    </row>
    <row r="7" spans="1:6" x14ac:dyDescent="0.25">
      <c r="A7" s="234"/>
      <c r="C7" s="316"/>
      <c r="F7" s="331"/>
    </row>
    <row r="8" spans="1:6" ht="15.75" thickBot="1" x14ac:dyDescent="0.3">
      <c r="A8" s="335" t="str">
        <f>"Median sqft ("&amp;C3&amp;", "&amp;C4&amp;")"</f>
        <v>Median sqft (Last 12 Months, 2003 &amp; Newer)</v>
      </c>
      <c r="B8" s="336"/>
      <c r="C8" s="330">
        <f>INDEX('Gap Summary of square feet'!$F$6:$H$8,MATCH('Impact to Margins'!$C$3,'Gap Summary of square feet'!$A$6:$A$9,0),MATCH('Impact to Margins'!$C$4,'Gap Summary of square feet'!$F$5:$H$5,0))</f>
        <v>1819.982905982906</v>
      </c>
      <c r="E8" s="228"/>
      <c r="F8" s="331"/>
    </row>
    <row r="9" spans="1:6" ht="15.75" thickTop="1" x14ac:dyDescent="0.25">
      <c r="A9" s="234"/>
      <c r="E9" s="228"/>
      <c r="F9" s="331"/>
    </row>
    <row r="10" spans="1:6" x14ac:dyDescent="0.25">
      <c r="A10" s="234" t="s">
        <v>1509</v>
      </c>
      <c r="C10" s="331"/>
      <c r="E10" s="228"/>
      <c r="F10" s="331"/>
    </row>
    <row r="11" spans="1:6" hidden="1" x14ac:dyDescent="0.25">
      <c r="A11" s="234"/>
      <c r="B11" s="372"/>
      <c r="C11" s="391"/>
      <c r="D11" s="359"/>
      <c r="E11" s="228"/>
      <c r="F11" s="331"/>
    </row>
    <row r="12" spans="1:6" hidden="1" x14ac:dyDescent="0.25">
      <c r="A12" s="234"/>
      <c r="B12" s="360" t="s">
        <v>1563</v>
      </c>
      <c r="C12" s="424">
        <f>C32-C30</f>
        <v>120567.8343076923</v>
      </c>
      <c r="D12" s="426">
        <f>C12/$C$30</f>
        <v>0.334045689932982</v>
      </c>
      <c r="E12" s="228"/>
      <c r="F12" s="331"/>
    </row>
    <row r="13" spans="1:6" hidden="1" x14ac:dyDescent="0.25">
      <c r="A13" s="234"/>
      <c r="B13" s="360" t="s">
        <v>1565</v>
      </c>
      <c r="C13" s="425">
        <f>-C8*C5</f>
        <v>-14781.176047327484</v>
      </c>
      <c r="D13" s="426">
        <f>-C13/$C$30</f>
        <v>4.0952781304419233E-2</v>
      </c>
      <c r="E13" s="228"/>
      <c r="F13" s="331"/>
    </row>
    <row r="14" spans="1:6" hidden="1" x14ac:dyDescent="0.25">
      <c r="A14" s="234"/>
      <c r="B14" s="389" t="s">
        <v>1564</v>
      </c>
      <c r="C14" s="424">
        <f>C12+C13</f>
        <v>105786.65826036481</v>
      </c>
      <c r="D14" s="426">
        <f>C14/$C$30</f>
        <v>0.29309290862856274</v>
      </c>
      <c r="E14" s="228"/>
      <c r="F14" s="302"/>
    </row>
    <row r="15" spans="1:6" hidden="1" x14ac:dyDescent="0.25">
      <c r="A15" s="234"/>
      <c r="B15" s="427"/>
      <c r="C15" s="428"/>
      <c r="D15" s="429"/>
      <c r="E15" s="228"/>
      <c r="F15" s="302"/>
    </row>
    <row r="16" spans="1:6" x14ac:dyDescent="0.25">
      <c r="A16" s="234"/>
      <c r="B16" s="372"/>
      <c r="C16" s="432"/>
      <c r="D16" s="359"/>
      <c r="E16" s="228"/>
      <c r="F16" s="332"/>
    </row>
    <row r="17" spans="1:6" x14ac:dyDescent="0.25">
      <c r="A17" s="234"/>
      <c r="B17" s="389" t="s">
        <v>1565</v>
      </c>
      <c r="C17" s="424">
        <f>-C5*C8</f>
        <v>-14781.176047327484</v>
      </c>
      <c r="D17" s="361"/>
      <c r="E17" s="433"/>
      <c r="F17" s="302"/>
    </row>
    <row r="18" spans="1:6" x14ac:dyDescent="0.25">
      <c r="A18" s="234"/>
      <c r="B18" s="389" t="s">
        <v>1567</v>
      </c>
      <c r="C18" s="425">
        <f>C27</f>
        <v>11000</v>
      </c>
      <c r="D18" s="361"/>
      <c r="F18" s="302"/>
    </row>
    <row r="19" spans="1:6" ht="15.75" thickBot="1" x14ac:dyDescent="0.3">
      <c r="A19" s="234"/>
      <c r="B19" s="360" t="s">
        <v>1566</v>
      </c>
      <c r="C19" s="430">
        <f>C18+C17</f>
        <v>-3781.1760473274844</v>
      </c>
      <c r="D19" s="426">
        <f>C19/$C$30</f>
        <v>-1.0476140412907705E-2</v>
      </c>
      <c r="F19" s="332"/>
    </row>
    <row r="20" spans="1:6" ht="15.75" thickTop="1" x14ac:dyDescent="0.25">
      <c r="A20" s="234"/>
      <c r="B20" s="362"/>
      <c r="C20" s="390"/>
      <c r="D20" s="364"/>
      <c r="F20" s="332"/>
    </row>
    <row r="21" spans="1:6" x14ac:dyDescent="0.25">
      <c r="A21" s="234"/>
      <c r="B21" s="233"/>
      <c r="C21" s="413"/>
      <c r="D21" s="233"/>
      <c r="F21" s="332"/>
    </row>
    <row r="22" spans="1:6" x14ac:dyDescent="0.25">
      <c r="A22" s="234" t="s">
        <v>1553</v>
      </c>
      <c r="B22" s="233"/>
      <c r="C22" s="413"/>
      <c r="D22" s="233"/>
      <c r="F22" s="332"/>
    </row>
    <row r="23" spans="1:6" ht="30" customHeight="1" x14ac:dyDescent="0.25">
      <c r="B23" s="417" t="s">
        <v>1571</v>
      </c>
      <c r="C23" s="418">
        <v>5000</v>
      </c>
      <c r="D23" s="233" t="s">
        <v>1570</v>
      </c>
      <c r="F23" s="332"/>
    </row>
    <row r="24" spans="1:6" ht="30" x14ac:dyDescent="0.25">
      <c r="B24" s="389" t="s">
        <v>1562</v>
      </c>
      <c r="C24" s="419">
        <v>2500</v>
      </c>
      <c r="D24" s="233"/>
      <c r="F24" s="332"/>
    </row>
    <row r="25" spans="1:6" x14ac:dyDescent="0.25">
      <c r="B25" s="360" t="s">
        <v>1554</v>
      </c>
      <c r="C25" s="419">
        <v>1500</v>
      </c>
      <c r="D25" s="233"/>
      <c r="F25" s="332"/>
    </row>
    <row r="26" spans="1:6" x14ac:dyDescent="0.25">
      <c r="B26" s="360" t="s">
        <v>1555</v>
      </c>
      <c r="C26" s="420">
        <v>2000</v>
      </c>
      <c r="D26" s="233"/>
      <c r="F26" s="332"/>
    </row>
    <row r="27" spans="1:6" x14ac:dyDescent="0.25">
      <c r="B27" s="362" t="s">
        <v>1556</v>
      </c>
      <c r="C27" s="421">
        <f>SUM(C23:C26)</f>
        <v>11000</v>
      </c>
      <c r="D27" s="233"/>
      <c r="F27" s="332"/>
    </row>
    <row r="28" spans="1:6" ht="24.75" customHeight="1" x14ac:dyDescent="0.25">
      <c r="A28" s="234"/>
      <c r="B28" s="233"/>
      <c r="C28" s="414"/>
      <c r="D28" s="233"/>
      <c r="F28" s="332"/>
    </row>
    <row r="29" spans="1:6" ht="21.75" customHeight="1" x14ac:dyDescent="0.25">
      <c r="A29" s="459" t="s">
        <v>1438</v>
      </c>
      <c r="B29" s="459"/>
      <c r="C29" s="309"/>
      <c r="D29" s="448"/>
      <c r="E29" s="448"/>
    </row>
    <row r="30" spans="1:6" x14ac:dyDescent="0.25">
      <c r="A30" s="372" t="s">
        <v>1487</v>
      </c>
      <c r="B30" s="358"/>
      <c r="C30" s="378">
        <f>C42</f>
        <v>360932.1656923077</v>
      </c>
      <c r="D30" s="303"/>
      <c r="E30" s="303"/>
      <c r="F30" s="310">
        <f>E42</f>
        <v>365289.39316239319</v>
      </c>
    </row>
    <row r="31" spans="1:6" x14ac:dyDescent="0.25">
      <c r="A31" s="360" t="s">
        <v>1488</v>
      </c>
      <c r="B31" s="233"/>
      <c r="C31" s="422">
        <f>'2012 and newer - Last 12 Months'!D6</f>
        <v>513619</v>
      </c>
      <c r="D31" s="303"/>
      <c r="E31" s="303"/>
      <c r="F31" s="310">
        <f>C31</f>
        <v>513619</v>
      </c>
    </row>
    <row r="32" spans="1:6" x14ac:dyDescent="0.25">
      <c r="A32" s="360" t="s">
        <v>1236</v>
      </c>
      <c r="B32" s="233"/>
      <c r="C32" s="422">
        <f>'2012 and newer - Last 12 Months'!D5</f>
        <v>481500</v>
      </c>
      <c r="D32" s="303"/>
      <c r="E32" s="303"/>
      <c r="F32" s="310">
        <f>C32</f>
        <v>481500</v>
      </c>
    </row>
    <row r="33" spans="1:10" x14ac:dyDescent="0.25">
      <c r="A33" s="360" t="s">
        <v>1552</v>
      </c>
      <c r="B33" s="233"/>
      <c r="C33" s="422">
        <f>C32-C30</f>
        <v>120567.8343076923</v>
      </c>
      <c r="D33" s="303"/>
      <c r="E33" s="303"/>
      <c r="F33" s="416">
        <f>F32-F30</f>
        <v>116210.60683760681</v>
      </c>
    </row>
    <row r="34" spans="1:10" x14ac:dyDescent="0.25">
      <c r="A34" s="362" t="s">
        <v>1569</v>
      </c>
      <c r="B34" s="363"/>
      <c r="C34" s="423">
        <f>(C32-C30)/C30</f>
        <v>0.334045689932982</v>
      </c>
      <c r="D34" s="303"/>
      <c r="E34" s="303"/>
      <c r="F34" s="415">
        <f>(F32-F30)/F30</f>
        <v>0.31813298993311911</v>
      </c>
    </row>
    <row r="35" spans="1:10" x14ac:dyDescent="0.25">
      <c r="D35" s="303"/>
      <c r="E35" s="303"/>
    </row>
    <row r="36" spans="1:10" x14ac:dyDescent="0.25">
      <c r="A36" s="460" t="s">
        <v>1489</v>
      </c>
      <c r="B36" s="460"/>
      <c r="C36" s="460"/>
      <c r="E36" s="234" t="s">
        <v>1490</v>
      </c>
    </row>
    <row r="37" spans="1:10" ht="30" customHeight="1" x14ac:dyDescent="0.25">
      <c r="A37" s="452" t="s">
        <v>1561</v>
      </c>
      <c r="B37" s="453"/>
      <c r="C37" s="386">
        <v>32000</v>
      </c>
      <c r="D37" s="233"/>
      <c r="E37" s="455">
        <f>435600/6</f>
        <v>72600</v>
      </c>
      <c r="F37" s="455"/>
      <c r="G37" s="385" t="s">
        <v>1551</v>
      </c>
      <c r="H37" s="385"/>
      <c r="I37" s="385"/>
      <c r="J37" s="385"/>
    </row>
    <row r="38" spans="1:10" ht="30" customHeight="1" x14ac:dyDescent="0.25">
      <c r="A38" s="451" t="s">
        <v>1557</v>
      </c>
      <c r="B38" s="451"/>
      <c r="C38" s="386">
        <f>1000*50</f>
        <v>50000</v>
      </c>
      <c r="D38" s="233"/>
      <c r="E38" s="450">
        <f>125*C8</f>
        <v>227497.86324786325</v>
      </c>
      <c r="F38" s="450"/>
      <c r="G38" s="458" t="s">
        <v>1521</v>
      </c>
      <c r="H38" s="458"/>
      <c r="I38" s="458"/>
      <c r="J38" s="458"/>
    </row>
    <row r="39" spans="1:10" ht="30" customHeight="1" x14ac:dyDescent="0.25">
      <c r="A39" s="451" t="s">
        <v>1520</v>
      </c>
      <c r="B39" s="451"/>
      <c r="C39" s="386">
        <f>113.85*C8</f>
        <v>207205.05384615384</v>
      </c>
      <c r="D39" s="233"/>
      <c r="E39" s="450"/>
      <c r="F39" s="450"/>
      <c r="G39" s="458"/>
      <c r="H39" s="458"/>
      <c r="I39" s="458"/>
      <c r="J39" s="458"/>
    </row>
    <row r="40" spans="1:10" ht="45" customHeight="1" x14ac:dyDescent="0.25">
      <c r="A40" s="451" t="s">
        <v>1560</v>
      </c>
      <c r="B40" s="451"/>
      <c r="C40" s="386">
        <f>42142-27000</f>
        <v>15142</v>
      </c>
      <c r="D40" s="233"/>
      <c r="E40" s="455">
        <f>42142-27000</f>
        <v>15142</v>
      </c>
      <c r="F40" s="455"/>
      <c r="G40" s="458" t="s">
        <v>1550</v>
      </c>
      <c r="H40" s="458"/>
      <c r="I40" s="458"/>
      <c r="J40" s="458"/>
    </row>
    <row r="41" spans="1:10" ht="45" customHeight="1" x14ac:dyDescent="0.25">
      <c r="A41" s="452" t="s">
        <v>1558</v>
      </c>
      <c r="B41" s="453"/>
      <c r="C41" s="387">
        <f>(C38+C39)*0.22</f>
        <v>56585.111846153843</v>
      </c>
      <c r="D41" s="233"/>
      <c r="E41" s="456">
        <f>E38*0.22</f>
        <v>50049.529914529914</v>
      </c>
      <c r="F41" s="456"/>
      <c r="G41" s="451" t="s">
        <v>1559</v>
      </c>
      <c r="H41" s="451"/>
      <c r="I41" s="451"/>
      <c r="J41" s="451"/>
    </row>
    <row r="42" spans="1:10" x14ac:dyDescent="0.25">
      <c r="A42" s="395"/>
      <c r="B42" s="396"/>
      <c r="C42" s="388">
        <f>SUM(C37:C41)</f>
        <v>360932.1656923077</v>
      </c>
      <c r="D42" s="233"/>
      <c r="E42" s="457">
        <f>SUM(E37:E41)</f>
        <v>365289.39316239319</v>
      </c>
      <c r="F42" s="457"/>
      <c r="G42" s="454"/>
      <c r="H42" s="454"/>
      <c r="I42" s="454"/>
      <c r="J42" s="454"/>
    </row>
    <row r="45" spans="1:10" x14ac:dyDescent="0.25">
      <c r="C45" s="415"/>
    </row>
  </sheetData>
  <mergeCells count="18">
    <mergeCell ref="G38:J39"/>
    <mergeCell ref="A40:B40"/>
    <mergeCell ref="A29:B29"/>
    <mergeCell ref="A36:C36"/>
    <mergeCell ref="D29:E29"/>
    <mergeCell ref="E37:F37"/>
    <mergeCell ref="A38:B38"/>
    <mergeCell ref="G40:J40"/>
    <mergeCell ref="G42:J42"/>
    <mergeCell ref="G41:J41"/>
    <mergeCell ref="E40:F40"/>
    <mergeCell ref="E41:F41"/>
    <mergeCell ref="E42:F42"/>
    <mergeCell ref="E38:F39"/>
    <mergeCell ref="A39:B39"/>
    <mergeCell ref="A41:B41"/>
    <mergeCell ref="A37:B37"/>
    <mergeCell ref="A1:F1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'Gap Summary'!$A$9:$A$11</xm:f>
          </x14:formula1>
          <xm:sqref>C3</xm:sqref>
        </x14:dataValidation>
        <x14:dataValidation type="list" allowBlank="1" showInputMessage="1" showErrorMessage="1">
          <x14:formula1>
            <xm:f>'Gap Summary'!$F$8:$H$8</xm:f>
          </x14:formula1>
          <xm:sqref>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7"/>
  <sheetViews>
    <sheetView zoomScale="200" zoomScaleNormal="200" zoomScalePageLayoutView="150" workbookViewId="0">
      <selection activeCell="E6" sqref="E6"/>
    </sheetView>
  </sheetViews>
  <sheetFormatPr defaultColWidth="9.140625" defaultRowHeight="15" x14ac:dyDescent="0.25"/>
  <cols>
    <col min="1" max="1" width="22.7109375" style="229" bestFit="1" customWidth="1"/>
    <col min="2" max="2" width="9.5703125" style="229" bestFit="1" customWidth="1"/>
    <col min="3" max="5" width="9.140625" style="229"/>
    <col min="6" max="7" width="11.7109375" style="229" bestFit="1" customWidth="1"/>
    <col min="8" max="16384" width="9.140625" style="229"/>
  </cols>
  <sheetData>
    <row r="1" spans="1:7" ht="15.75" x14ac:dyDescent="0.25">
      <c r="A1" s="449" t="s">
        <v>1528</v>
      </c>
      <c r="B1" s="449"/>
      <c r="C1" s="449"/>
      <c r="D1" s="449"/>
      <c r="E1" s="449"/>
      <c r="F1" s="303"/>
    </row>
    <row r="2" spans="1:7" ht="15.75" x14ac:dyDescent="0.25">
      <c r="A2" s="321"/>
      <c r="B2" s="321"/>
      <c r="C2" s="321"/>
      <c r="D2" s="321"/>
      <c r="E2" s="321"/>
      <c r="F2" s="303"/>
    </row>
    <row r="3" spans="1:7" ht="15.75" thickBot="1" x14ac:dyDescent="0.3">
      <c r="A3" s="234" t="s">
        <v>1529</v>
      </c>
      <c r="B3" s="300">
        <f>'Impact to Margins'!C5</f>
        <v>8.121601581386674</v>
      </c>
    </row>
    <row r="4" spans="1:7" ht="15.75" thickTop="1" x14ac:dyDescent="0.25">
      <c r="B4" s="301"/>
    </row>
    <row r="5" spans="1:7" x14ac:dyDescent="0.25">
      <c r="A5" s="234" t="s">
        <v>1516</v>
      </c>
      <c r="B5" s="318">
        <v>1500</v>
      </c>
    </row>
    <row r="7" spans="1:7" x14ac:dyDescent="0.25">
      <c r="A7" s="234" t="s">
        <v>1512</v>
      </c>
    </row>
    <row r="8" spans="1:7" x14ac:dyDescent="0.25">
      <c r="A8" s="229" t="s">
        <v>1513</v>
      </c>
      <c r="B8" s="304">
        <f>$B$3*C8</f>
        <v>6.4972812651093399</v>
      </c>
      <c r="C8" s="307">
        <v>0.8</v>
      </c>
      <c r="F8" s="301"/>
    </row>
    <row r="9" spans="1:7" x14ac:dyDescent="0.25">
      <c r="A9" s="229" t="s">
        <v>1514</v>
      </c>
      <c r="B9" s="305">
        <f>$B$3*C9</f>
        <v>7.3094414232480069</v>
      </c>
      <c r="C9" s="307">
        <v>0.9</v>
      </c>
      <c r="F9" s="301"/>
      <c r="G9" s="301"/>
    </row>
    <row r="10" spans="1:7" x14ac:dyDescent="0.25">
      <c r="A10" s="229" t="s">
        <v>1515</v>
      </c>
      <c r="B10" s="306">
        <f>$B$3*C10</f>
        <v>8.121601581386674</v>
      </c>
      <c r="C10" s="307">
        <v>1</v>
      </c>
      <c r="F10" s="301"/>
    </row>
    <row r="12" spans="1:7" x14ac:dyDescent="0.25">
      <c r="B12" s="407" t="s">
        <v>1534</v>
      </c>
      <c r="C12" s="407" t="s">
        <v>1535</v>
      </c>
      <c r="D12" s="407" t="s">
        <v>1536</v>
      </c>
    </row>
    <row r="13" spans="1:7" x14ac:dyDescent="0.25">
      <c r="A13" s="229" t="s">
        <v>1517</v>
      </c>
      <c r="B13" s="380">
        <f>IF(B5&lt;1000,B5*B8,IF(B5&lt;2000,1000*B8+(B5-1000)*B9,(B8*1000)+(B9*1000)+(B5-2000)*B10))</f>
        <v>10152.001976733343</v>
      </c>
      <c r="C13" s="380">
        <f>B3*B5</f>
        <v>12182.402372080011</v>
      </c>
      <c r="D13" s="380">
        <f>C13-B13</f>
        <v>2030.4003953466672</v>
      </c>
    </row>
    <row r="14" spans="1:7" x14ac:dyDescent="0.25">
      <c r="A14" s="229" t="s">
        <v>1518</v>
      </c>
      <c r="B14" s="381">
        <f>B13/B5</f>
        <v>6.7680013178222289</v>
      </c>
      <c r="C14" s="381">
        <f>C13/B5</f>
        <v>8.121601581386674</v>
      </c>
      <c r="D14" s="381"/>
    </row>
    <row r="24" spans="1:10" x14ac:dyDescent="0.25">
      <c r="A24" s="233"/>
      <c r="B24" s="233"/>
      <c r="C24" s="233"/>
      <c r="D24" s="233"/>
      <c r="E24" s="233"/>
      <c r="F24" s="233"/>
      <c r="G24" s="233"/>
      <c r="H24" s="233"/>
      <c r="I24" s="233"/>
      <c r="J24" s="233"/>
    </row>
    <row r="25" spans="1:10" x14ac:dyDescent="0.25">
      <c r="A25" s="233"/>
      <c r="B25" s="233"/>
      <c r="C25" s="233"/>
      <c r="D25" s="233"/>
      <c r="E25" s="233"/>
      <c r="F25" s="233"/>
      <c r="G25" s="233"/>
      <c r="H25" s="233"/>
      <c r="I25" s="233"/>
      <c r="J25" s="233"/>
    </row>
    <row r="26" spans="1:10" x14ac:dyDescent="0.25">
      <c r="A26" s="233"/>
      <c r="B26" s="233"/>
      <c r="C26" s="233"/>
      <c r="D26" s="233"/>
      <c r="E26" s="233"/>
      <c r="F26" s="233"/>
      <c r="G26" s="233"/>
      <c r="H26" s="233"/>
      <c r="I26" s="233"/>
      <c r="J26" s="233"/>
    </row>
    <row r="27" spans="1:10" x14ac:dyDescent="0.25">
      <c r="A27" s="233"/>
      <c r="B27" s="233"/>
      <c r="C27" s="233"/>
      <c r="D27" s="233"/>
      <c r="E27" s="233"/>
      <c r="F27" s="233"/>
      <c r="G27" s="233"/>
      <c r="H27" s="233"/>
      <c r="I27" s="233"/>
      <c r="J27" s="233"/>
    </row>
    <row r="28" spans="1:10" x14ac:dyDescent="0.25">
      <c r="A28" s="233"/>
      <c r="B28" s="233"/>
      <c r="C28" s="233"/>
      <c r="D28" s="233"/>
      <c r="E28" s="233"/>
      <c r="F28" s="233"/>
      <c r="G28" s="233"/>
      <c r="H28" s="233"/>
      <c r="I28" s="233"/>
      <c r="J28" s="233"/>
    </row>
    <row r="29" spans="1:10" x14ac:dyDescent="0.25">
      <c r="A29" s="233"/>
      <c r="B29" s="233"/>
      <c r="C29" s="233"/>
      <c r="D29" s="233"/>
      <c r="E29" s="233"/>
      <c r="F29" s="233"/>
      <c r="G29" s="233"/>
      <c r="H29" s="233"/>
      <c r="I29" s="233"/>
      <c r="J29" s="233"/>
    </row>
    <row r="30" spans="1:10" x14ac:dyDescent="0.25">
      <c r="A30" s="233"/>
      <c r="B30" s="233"/>
      <c r="C30" s="233"/>
      <c r="D30" s="233"/>
      <c r="E30" s="233"/>
      <c r="F30" s="233"/>
      <c r="G30" s="438"/>
      <c r="H30" s="438"/>
      <c r="I30" s="438"/>
      <c r="J30" s="438"/>
    </row>
    <row r="31" spans="1:10" x14ac:dyDescent="0.25">
      <c r="A31" s="233"/>
      <c r="B31" s="233"/>
      <c r="C31" s="233"/>
      <c r="D31" s="233"/>
      <c r="E31" s="233"/>
      <c r="F31" s="233"/>
      <c r="G31" s="439"/>
      <c r="H31" s="439"/>
      <c r="I31" s="439"/>
      <c r="J31" s="439"/>
    </row>
    <row r="32" spans="1:10" x14ac:dyDescent="0.25">
      <c r="A32" s="233"/>
      <c r="B32" s="233"/>
      <c r="C32" s="233"/>
      <c r="D32" s="233"/>
      <c r="E32" s="233"/>
      <c r="F32" s="233"/>
      <c r="G32" s="438"/>
      <c r="H32" s="438"/>
      <c r="I32" s="438"/>
      <c r="J32" s="438"/>
    </row>
    <row r="33" spans="1:10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</row>
    <row r="34" spans="1:10" x14ac:dyDescent="0.25">
      <c r="A34" s="233"/>
      <c r="B34" s="233"/>
      <c r="C34" s="233"/>
      <c r="D34" s="233"/>
      <c r="E34" s="233"/>
      <c r="F34" s="233"/>
      <c r="G34" s="233"/>
      <c r="H34" s="233"/>
      <c r="I34" s="233"/>
      <c r="J34" s="233"/>
    </row>
    <row r="35" spans="1:10" x14ac:dyDescent="0.25">
      <c r="A35" s="233"/>
      <c r="B35" s="233"/>
      <c r="C35" s="233"/>
      <c r="D35" s="233"/>
      <c r="E35" s="233"/>
      <c r="F35" s="233"/>
      <c r="G35" s="233"/>
      <c r="H35" s="233"/>
      <c r="I35" s="233"/>
      <c r="J35" s="233"/>
    </row>
    <row r="36" spans="1:10" x14ac:dyDescent="0.25">
      <c r="A36" s="233"/>
      <c r="B36" s="233"/>
      <c r="C36" s="233"/>
      <c r="D36" s="233"/>
      <c r="E36" s="233"/>
      <c r="F36" s="233"/>
      <c r="G36" s="233"/>
      <c r="H36" s="233"/>
      <c r="I36" s="233"/>
      <c r="J36" s="233"/>
    </row>
    <row r="37" spans="1:10" x14ac:dyDescent="0.25">
      <c r="A37" s="233"/>
      <c r="B37" s="233"/>
      <c r="C37" s="233"/>
      <c r="D37" s="233"/>
      <c r="E37" s="233"/>
      <c r="F37" s="233"/>
      <c r="G37" s="233"/>
      <c r="H37" s="233"/>
      <c r="I37" s="233"/>
      <c r="J37" s="233"/>
    </row>
  </sheetData>
  <mergeCells count="4">
    <mergeCell ref="A1:E1"/>
    <mergeCell ref="G30:J30"/>
    <mergeCell ref="G32:J32"/>
    <mergeCell ref="G31:J31"/>
  </mergeCells>
  <printOptions horizontalCentered="1"/>
  <pageMargins left="1.2" right="1.2" top="1" bottom="1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20" sqref="C20"/>
    </sheetView>
  </sheetViews>
  <sheetFormatPr defaultColWidth="9.140625" defaultRowHeight="15" x14ac:dyDescent="0.25"/>
  <cols>
    <col min="1" max="1" width="20.7109375" style="229" customWidth="1"/>
    <col min="2" max="2" width="11.7109375" style="229" customWidth="1"/>
    <col min="3" max="3" width="13.42578125" style="229" customWidth="1"/>
    <col min="4" max="4" width="14.7109375" style="229" customWidth="1"/>
    <col min="5" max="5" width="5.140625" style="229" customWidth="1"/>
    <col min="6" max="6" width="12.42578125" style="229" customWidth="1"/>
    <col min="7" max="7" width="13.85546875" style="229" customWidth="1"/>
    <col min="8" max="8" width="12.7109375" style="229" customWidth="1"/>
    <col min="9" max="16384" width="9.140625" style="229"/>
  </cols>
  <sheetData>
    <row r="1" spans="1:8" ht="18.75" x14ac:dyDescent="0.3">
      <c r="A1" s="462" t="s">
        <v>1531</v>
      </c>
      <c r="B1" s="462"/>
      <c r="C1" s="462"/>
      <c r="D1" s="462"/>
      <c r="E1" s="462"/>
      <c r="F1" s="462"/>
      <c r="G1" s="462"/>
      <c r="H1" s="462"/>
    </row>
    <row r="4" spans="1:8" x14ac:dyDescent="0.25">
      <c r="B4" s="448" t="s">
        <v>1426</v>
      </c>
      <c r="C4" s="448"/>
      <c r="D4" s="448"/>
      <c r="E4" s="257"/>
      <c r="F4" s="445" t="s">
        <v>1462</v>
      </c>
      <c r="G4" s="445"/>
      <c r="H4" s="445"/>
    </row>
    <row r="5" spans="1:8" x14ac:dyDescent="0.25">
      <c r="B5" s="256" t="s">
        <v>1436</v>
      </c>
      <c r="C5" s="256" t="s">
        <v>1469</v>
      </c>
      <c r="D5" s="256" t="s">
        <v>1437</v>
      </c>
      <c r="F5" s="256" t="s">
        <v>1436</v>
      </c>
      <c r="G5" s="256" t="s">
        <v>1469</v>
      </c>
      <c r="H5" s="256" t="s">
        <v>1437</v>
      </c>
    </row>
    <row r="6" spans="1:8" x14ac:dyDescent="0.25">
      <c r="A6" s="234" t="s">
        <v>1432</v>
      </c>
      <c r="B6" s="323">
        <f>'YTD all yrs'!G12</f>
        <v>1508</v>
      </c>
      <c r="C6" s="324">
        <f>'YTD - 2003 and newer'!G12</f>
        <v>1692</v>
      </c>
      <c r="D6" s="325">
        <f>'2012 and newer - YTD'!G12</f>
        <v>1826</v>
      </c>
      <c r="F6" s="323">
        <f>'YTD all yrs'!E22</f>
        <v>1512.9597135183528</v>
      </c>
      <c r="G6" s="324">
        <f>'YTD - 2003 and newer'!E22</f>
        <v>1778.5401459854015</v>
      </c>
      <c r="H6" s="325">
        <f>'2012 and newer - YTD'!E22</f>
        <v>1741.7407407407406</v>
      </c>
    </row>
    <row r="7" spans="1:8" x14ac:dyDescent="0.25">
      <c r="A7" s="234" t="s">
        <v>1434</v>
      </c>
      <c r="B7" s="242">
        <f>'Last 12 Months all yrs'!G12</f>
        <v>1484</v>
      </c>
      <c r="C7" s="326">
        <f>'Last 12 Months - 2003 and newer'!G12</f>
        <v>1734</v>
      </c>
      <c r="D7" s="243">
        <f>'2012 and newer - Last 12 Months'!G12</f>
        <v>1879</v>
      </c>
      <c r="F7" s="242">
        <f>'Last 12 Months all yrs'!E22</f>
        <v>1505.2527244421381</v>
      </c>
      <c r="G7" s="326">
        <f>'Last 12 Months - 2003 and newer'!E22</f>
        <v>1819.982905982906</v>
      </c>
      <c r="H7" s="243">
        <f>'2012 and newer - Last 12 Months'!E22</f>
        <v>1776.85</v>
      </c>
    </row>
    <row r="8" spans="1:8" x14ac:dyDescent="0.25">
      <c r="A8" s="234" t="s">
        <v>1435</v>
      </c>
      <c r="B8" s="327">
        <f>'18 Month Rolling all yrs'!G12</f>
        <v>1492</v>
      </c>
      <c r="C8" s="328">
        <f>'18 Month Rolling - 2003 and new'!G12</f>
        <v>1713</v>
      </c>
      <c r="D8" s="329">
        <f>'2012 and newer - 18 month'!G12</f>
        <v>1756</v>
      </c>
      <c r="F8" s="327">
        <f>'18 Month Rolling all yrs'!E22</f>
        <v>1511.1198186528497</v>
      </c>
      <c r="G8" s="328">
        <f>'18 Month Rolling - 2003 and new'!E22</f>
        <v>1814.4113300492611</v>
      </c>
      <c r="H8" s="329">
        <f>'2012 and newer - 18 month'!E22</f>
        <v>1780.3333333333333</v>
      </c>
    </row>
    <row r="11" spans="1:8" ht="125.1" customHeight="1" x14ac:dyDescent="0.25">
      <c r="A11" s="446" t="s">
        <v>1470</v>
      </c>
      <c r="B11" s="446"/>
      <c r="C11" s="446"/>
      <c r="D11" s="446"/>
      <c r="E11" s="446"/>
      <c r="F11" s="446"/>
      <c r="G11" s="446"/>
      <c r="H11" s="446"/>
    </row>
    <row r="14" spans="1:8" x14ac:dyDescent="0.25">
      <c r="A14" s="234"/>
    </row>
    <row r="15" spans="1:8" x14ac:dyDescent="0.25">
      <c r="C15" s="309"/>
      <c r="D15" s="448"/>
      <c r="E15" s="448"/>
    </row>
    <row r="16" spans="1:8" x14ac:dyDescent="0.25">
      <c r="C16" s="310"/>
      <c r="D16" s="303"/>
      <c r="E16" s="303"/>
      <c r="F16" s="310"/>
    </row>
    <row r="17" spans="1:8" x14ac:dyDescent="0.25">
      <c r="C17" s="310"/>
      <c r="D17" s="303"/>
      <c r="E17" s="303"/>
      <c r="F17" s="310"/>
      <c r="G17" s="310"/>
    </row>
    <row r="18" spans="1:8" x14ac:dyDescent="0.25">
      <c r="C18" s="310"/>
      <c r="D18" s="303"/>
      <c r="E18" s="303"/>
      <c r="F18" s="310"/>
    </row>
    <row r="19" spans="1:8" x14ac:dyDescent="0.25">
      <c r="C19" s="310"/>
      <c r="D19" s="303"/>
      <c r="E19" s="303"/>
      <c r="F19" s="310"/>
    </row>
    <row r="20" spans="1:8" x14ac:dyDescent="0.25">
      <c r="C20" s="310"/>
      <c r="D20" s="303"/>
      <c r="E20" s="303"/>
      <c r="F20" s="310"/>
    </row>
    <row r="21" spans="1:8" x14ac:dyDescent="0.25">
      <c r="C21" s="310"/>
      <c r="D21" s="303"/>
      <c r="E21" s="303"/>
      <c r="F21" s="310"/>
    </row>
    <row r="22" spans="1:8" x14ac:dyDescent="0.25">
      <c r="D22" s="303"/>
      <c r="E22" s="303"/>
    </row>
    <row r="23" spans="1:8" x14ac:dyDescent="0.25">
      <c r="A23" s="234"/>
      <c r="E23" s="234"/>
    </row>
    <row r="24" spans="1:8" x14ac:dyDescent="0.25">
      <c r="C24" s="310"/>
      <c r="E24" s="461"/>
      <c r="F24" s="461"/>
    </row>
    <row r="25" spans="1:8" ht="30" customHeight="1" x14ac:dyDescent="0.25">
      <c r="A25" s="464"/>
      <c r="B25" s="464"/>
      <c r="C25" s="310"/>
      <c r="E25" s="465"/>
      <c r="F25" s="465"/>
      <c r="G25" s="466"/>
      <c r="H25" s="466"/>
    </row>
    <row r="26" spans="1:8" ht="45" customHeight="1" x14ac:dyDescent="0.25">
      <c r="A26" s="464"/>
      <c r="B26" s="464"/>
      <c r="C26" s="310"/>
      <c r="E26" s="465"/>
      <c r="F26" s="465"/>
      <c r="G26" s="466"/>
      <c r="H26" s="466"/>
    </row>
    <row r="27" spans="1:8" ht="20.25" customHeight="1" x14ac:dyDescent="0.25">
      <c r="A27" s="311"/>
      <c r="B27" s="311"/>
      <c r="C27" s="310"/>
      <c r="E27" s="461"/>
      <c r="F27" s="461"/>
      <c r="G27" s="312"/>
      <c r="H27" s="312"/>
    </row>
    <row r="28" spans="1:8" x14ac:dyDescent="0.25">
      <c r="C28" s="313"/>
      <c r="E28" s="467"/>
      <c r="F28" s="467"/>
    </row>
    <row r="29" spans="1:8" x14ac:dyDescent="0.25">
      <c r="C29" s="310"/>
      <c r="E29" s="463"/>
      <c r="F29" s="463"/>
    </row>
  </sheetData>
  <mergeCells count="13">
    <mergeCell ref="E29:F29"/>
    <mergeCell ref="A25:B25"/>
    <mergeCell ref="E25:F26"/>
    <mergeCell ref="G25:H26"/>
    <mergeCell ref="A26:B26"/>
    <mergeCell ref="E27:F27"/>
    <mergeCell ref="E28:F28"/>
    <mergeCell ref="E24:F24"/>
    <mergeCell ref="A1:H1"/>
    <mergeCell ref="B4:D4"/>
    <mergeCell ref="F4:H4"/>
    <mergeCell ref="A11:H11"/>
    <mergeCell ref="D15:E15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22"/>
  <sheetViews>
    <sheetView zoomScale="160" zoomScaleNormal="160" zoomScalePageLayoutView="130" workbookViewId="0">
      <selection activeCell="F19" sqref="F19"/>
    </sheetView>
  </sheetViews>
  <sheetFormatPr defaultColWidth="9.140625" defaultRowHeight="15" x14ac:dyDescent="0.25"/>
  <cols>
    <col min="1" max="1" width="2.140625" style="229" customWidth="1"/>
    <col min="2" max="2" width="34.140625" style="229" bestFit="1" customWidth="1"/>
    <col min="3" max="3" width="0.7109375" style="229" customWidth="1"/>
    <col min="4" max="4" width="15" style="229" customWidth="1"/>
    <col min="5" max="6" width="13.5703125" style="229" customWidth="1"/>
    <col min="7" max="7" width="14" style="229" bestFit="1" customWidth="1"/>
    <col min="8" max="8" width="12.28515625" style="229" customWidth="1"/>
    <col min="9" max="16384" width="9.140625" style="229"/>
  </cols>
  <sheetData>
    <row r="1" spans="2:8" ht="15.75" thickBot="1" x14ac:dyDescent="0.3">
      <c r="B1" s="230"/>
    </row>
    <row r="2" spans="2:8" ht="15.75" thickBot="1" x14ac:dyDescent="0.3">
      <c r="B2" s="254" t="s">
        <v>1444</v>
      </c>
      <c r="C2" s="231"/>
      <c r="D2" s="227" t="s">
        <v>1468</v>
      </c>
      <c r="E2" s="231"/>
      <c r="F2" s="232"/>
    </row>
    <row r="3" spans="2:8" x14ac:dyDescent="0.25">
      <c r="B3" s="255" t="s">
        <v>1430</v>
      </c>
      <c r="C3" s="233"/>
    </row>
    <row r="4" spans="2:8" x14ac:dyDescent="0.25">
      <c r="D4" s="256" t="s">
        <v>1424</v>
      </c>
      <c r="E4" s="256" t="s">
        <v>1422</v>
      </c>
      <c r="F4" s="257"/>
      <c r="G4" s="256" t="s">
        <v>1426</v>
      </c>
    </row>
    <row r="5" spans="2:8" x14ac:dyDescent="0.25">
      <c r="B5" s="235" t="s">
        <v>1405</v>
      </c>
      <c r="C5" s="235"/>
      <c r="D5" s="258">
        <v>480750</v>
      </c>
      <c r="E5" s="259">
        <v>308000</v>
      </c>
      <c r="G5" s="266">
        <v>435000</v>
      </c>
    </row>
    <row r="6" spans="2:8" x14ac:dyDescent="0.25">
      <c r="B6" s="235" t="s">
        <v>1425</v>
      </c>
      <c r="C6" s="235"/>
      <c r="D6" s="260">
        <v>539297</v>
      </c>
      <c r="E6" s="261">
        <v>315159</v>
      </c>
      <c r="G6" s="267">
        <v>472219</v>
      </c>
    </row>
    <row r="7" spans="2:8" x14ac:dyDescent="0.25">
      <c r="B7" s="235" t="s">
        <v>1414</v>
      </c>
      <c r="C7" s="235"/>
      <c r="D7" s="262">
        <v>96</v>
      </c>
      <c r="E7" s="263">
        <v>41</v>
      </c>
      <c r="G7" s="268">
        <v>137</v>
      </c>
      <c r="H7" s="236"/>
    </row>
    <row r="8" spans="2:8" x14ac:dyDescent="0.25">
      <c r="B8" s="237" t="s">
        <v>1527</v>
      </c>
      <c r="C8" s="235"/>
      <c r="D8" s="264">
        <f>IF('Gap Summary'!B4="Base",'Affordable Sales Price'!F5,'Affordable Sales Price - alt'!H5)</f>
        <v>315319.60249599192</v>
      </c>
      <c r="E8" s="265">
        <f>IF('Gap Summary'!B4="Base",'Affordable Sales Price'!F9,'Affordable Sales Price - alt'!H7)</f>
        <v>238101.10621835536</v>
      </c>
      <c r="G8" s="269">
        <f>AVERAGE(D8:E8)</f>
        <v>276710.35435717367</v>
      </c>
    </row>
    <row r="9" spans="2:8" ht="9.6" customHeight="1" x14ac:dyDescent="0.25">
      <c r="B9" s="238"/>
      <c r="C9" s="235"/>
      <c r="D9" s="239"/>
      <c r="E9" s="239"/>
      <c r="G9" s="239"/>
    </row>
    <row r="10" spans="2:8" x14ac:dyDescent="0.25">
      <c r="B10" s="235" t="s">
        <v>1409</v>
      </c>
      <c r="C10" s="235"/>
      <c r="D10" s="244">
        <f>D5-D8</f>
        <v>165430.39750400808</v>
      </c>
      <c r="E10" s="245">
        <f>E5-E8</f>
        <v>69898.893781644641</v>
      </c>
      <c r="G10" s="246">
        <f>G5-G8</f>
        <v>158289.64564282633</v>
      </c>
    </row>
    <row r="11" spans="2:8" x14ac:dyDescent="0.25">
      <c r="B11" s="235"/>
      <c r="C11" s="235"/>
    </row>
    <row r="12" spans="2:8" x14ac:dyDescent="0.25">
      <c r="B12" s="235" t="s">
        <v>1410</v>
      </c>
      <c r="C12" s="235"/>
      <c r="D12" s="270">
        <v>2000</v>
      </c>
      <c r="E12" s="271">
        <v>1260</v>
      </c>
      <c r="G12" s="272">
        <v>1692</v>
      </c>
    </row>
    <row r="13" spans="2:8" x14ac:dyDescent="0.25">
      <c r="B13" s="235"/>
      <c r="C13" s="235"/>
    </row>
    <row r="14" spans="2:8" x14ac:dyDescent="0.25">
      <c r="B14" s="235" t="s">
        <v>1408</v>
      </c>
      <c r="C14" s="235"/>
      <c r="D14" s="249">
        <f>D10/D12</f>
        <v>82.715198752004042</v>
      </c>
      <c r="E14" s="250">
        <f>E10/E12</f>
        <v>55.475312525114795</v>
      </c>
      <c r="G14" s="247">
        <f>G10/G12</f>
        <v>93.551800025311067</v>
      </c>
    </row>
    <row r="15" spans="2:8" x14ac:dyDescent="0.25">
      <c r="B15" s="235"/>
      <c r="C15" s="235"/>
    </row>
    <row r="16" spans="2:8" x14ac:dyDescent="0.25">
      <c r="B16" s="240" t="s">
        <v>1416</v>
      </c>
      <c r="C16" s="235"/>
      <c r="E16" s="251">
        <f>(((D14*D7)+(E14*E7))/(D7+E7))</f>
        <v>74.563116012570049</v>
      </c>
    </row>
    <row r="17" spans="2:7" x14ac:dyDescent="0.25">
      <c r="B17" s="235"/>
      <c r="C17" s="235"/>
    </row>
    <row r="18" spans="2:7" x14ac:dyDescent="0.25">
      <c r="B18" s="241" t="s">
        <v>1431</v>
      </c>
      <c r="C18" s="241"/>
      <c r="D18" s="252">
        <f>D14*0.12</f>
        <v>9.9258238502404854</v>
      </c>
      <c r="E18" s="253">
        <f>E14*0.12</f>
        <v>6.6570375030137754</v>
      </c>
      <c r="G18" s="248">
        <f>G14*0.12</f>
        <v>11.226216003037328</v>
      </c>
    </row>
    <row r="19" spans="2:7" x14ac:dyDescent="0.25">
      <c r="B19" s="235"/>
      <c r="C19" s="235"/>
    </row>
    <row r="20" spans="2:7" x14ac:dyDescent="0.25">
      <c r="B20" s="240" t="s">
        <v>1416</v>
      </c>
      <c r="C20" s="235"/>
      <c r="E20" s="273">
        <f>E16*0.12</f>
        <v>8.9475739215084058</v>
      </c>
    </row>
    <row r="22" spans="2:7" x14ac:dyDescent="0.25">
      <c r="E22" s="322">
        <f>((D7*D12)+(E7*E12))/(D7+E7)</f>
        <v>1778.5401459854015</v>
      </c>
    </row>
  </sheetData>
  <pageMargins left="0.7" right="0.7" top="0.75" bottom="0.75" header="0.3" footer="0.3"/>
  <pageSetup orientation="landscape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7</vt:i4>
      </vt:variant>
    </vt:vector>
  </HeadingPairs>
  <TitlesOfParts>
    <vt:vector size="33" baseType="lpstr">
      <vt:lpstr>Replacement Summary</vt:lpstr>
      <vt:lpstr>Replacement Calculations</vt:lpstr>
      <vt:lpstr>Gap Summary</vt:lpstr>
      <vt:lpstr>Affordable Sales Price</vt:lpstr>
      <vt:lpstr>Affordable Sales Price - alt</vt:lpstr>
      <vt:lpstr>Impact to Margins</vt:lpstr>
      <vt:lpstr>Sliding Scale</vt:lpstr>
      <vt:lpstr>Gap Summary of square feet</vt:lpstr>
      <vt:lpstr>YTD - 2003 and newer</vt:lpstr>
      <vt:lpstr>Last 12 Months - 2003 and newer</vt:lpstr>
      <vt:lpstr>18 Month Rolling - 2003 and new</vt:lpstr>
      <vt:lpstr>Single Family Lots</vt:lpstr>
      <vt:lpstr>Multi Family</vt:lpstr>
      <vt:lpstr>Demonstration</vt:lpstr>
      <vt:lpstr>Units EStimate</vt:lpstr>
      <vt:lpstr>Comparison Table</vt:lpstr>
      <vt:lpstr>Sheet2</vt:lpstr>
      <vt:lpstr>YTD - new AHSP</vt:lpstr>
      <vt:lpstr>Last 12 Months - new AHSP</vt:lpstr>
      <vt:lpstr>18 Month Rolling - new AHSP</vt:lpstr>
      <vt:lpstr>YTD all yrs</vt:lpstr>
      <vt:lpstr>Last 12 Months all yrs</vt:lpstr>
      <vt:lpstr>18 Month Rolling all yrs</vt:lpstr>
      <vt:lpstr>2012 and newer - YTD</vt:lpstr>
      <vt:lpstr>2012 and newer - Last 12 Months</vt:lpstr>
      <vt:lpstr>2012 and newer - 18 month</vt:lpstr>
      <vt:lpstr>Demonstration!_ftn1</vt:lpstr>
      <vt:lpstr>Demonstration!Print_Area</vt:lpstr>
      <vt:lpstr>'Gap Summary'!Print_Area</vt:lpstr>
      <vt:lpstr>'Gap Summary of square feet'!Print_Area</vt:lpstr>
      <vt:lpstr>'Impact to Margins'!Print_Area</vt:lpstr>
      <vt:lpstr>'Multi Family'!Print_Area</vt:lpstr>
      <vt:lpstr>'Replacement Calculations'!Print_Area</vt:lpstr>
    </vt:vector>
  </TitlesOfParts>
  <Company>Boulder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Marshall, Jacque</dc:creator>
  <cp:lastModifiedBy>Becky Doyle</cp:lastModifiedBy>
  <cp:lastPrinted>2018-09-24T17:03:57Z</cp:lastPrinted>
  <dcterms:created xsi:type="dcterms:W3CDTF">2018-06-05T21:29:46Z</dcterms:created>
  <dcterms:modified xsi:type="dcterms:W3CDTF">2018-09-26T01:39:30Z</dcterms:modified>
</cp:coreProperties>
</file>